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7365" activeTab="0"/>
  </bookViews>
  <sheets>
    <sheet name="Anexo II - 3º BIM" sheetId="1" r:id="rId1"/>
  </sheets>
  <definedNames>
    <definedName name="_xlnm.Print_Area" localSheetId="0">'Anexo II - 3º BIM'!$A$1:$L$452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<sst xmlns="http://schemas.openxmlformats.org/spreadsheetml/2006/main" count="819" uniqueCount="287">
  <si>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</si>
  <si>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</si>
  <si>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</si>
  <si>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</si>
  <si>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</si>
  <si>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</si>
  <si>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</si>
  <si>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</si>
  <si>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</si>
  <si>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</si>
  <si>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</si>
  <si>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</si>
  <si>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</si>
  <si>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</si>
  <si>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</si>
  <si>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</si>
  <si>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</si>
  <si>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</si>
  <si>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</si>
  <si>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</si>
  <si>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</si>
  <si>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</si>
  <si>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</si>
  <si>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</si>
  <si>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</si>
  <si>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</si>
  <si>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</si>
  <si>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</si>
  <si>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</si>
  <si>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</si>
  <si>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</si>
  <si>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</si>
  <si>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</si>
  <si>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</si>
  <si>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</si>
  <si>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</si>
  <si>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</si>
  <si>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</si>
  <si>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</si>
  <si>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</si>
  <si>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</si>
  <si>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</si>
  <si>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</si>
  <si>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</si>
  <si>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</si>
  <si>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</si>
  <si>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</si>
  <si>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</si>
  <si>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</si>
  <si>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</si>
  <si>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</si>
  <si>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</si>
  <si>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</si>
  <si>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</si>
  <si>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</si>
  <si>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</si>
  <si>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</si>
  <si>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</si>
  <si>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</si>
  <si>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</si>
  <si>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</si>
  <si>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</si>
  <si>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</si>
  <si>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</si>
  <si>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</si>
  <si>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</si>
  <si>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</si>
  <si>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</si>
  <si>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</si>
  <si>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</si>
  <si>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</si>
  <si>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</si>
  <si>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</si>
  <si>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</si>
  <si>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</si>
  <si>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</si>
  <si>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</si>
  <si>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</si>
  <si>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</si>
  <si>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</si>
  <si>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</si>
  <si>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</si>
  <si>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</si>
  <si>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</si>
  <si>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</si>
  <si>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</si>
  <si>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</si>
  <si>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</si>
  <si>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</si>
  <si>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</si>
  <si>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</si>
  <si>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</si>
  <si>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</si>
  <si>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</si>
  <si>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</si>
  <si>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</si>
  <si>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</si>
  <si>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</si>
  <si>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</si>
  <si>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</si>
  <si>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</si>
  <si>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</si>
  <si>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</si>
  <si>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</si>
  <si>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</si>
  <si>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</si>
  <si>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</si>
  <si>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</si>
  <si>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</si>
  <si>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</si>
  <si>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</si>
  <si>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</si>
  <si>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</si>
  <si>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</si>
  <si>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</si>
  <si>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</si>
  <si>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</si>
  <si>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</si>
  <si>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</si>
  <si>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</si>
  <si>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</si>
  <si>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</si>
  <si>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</si>
  <si>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</si>
  <si>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</si>
  <si>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</si>
  <si>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</si>
  <si>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</si>
  <si>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</si>
  <si>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</si>
  <si>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</si>
  <si>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</si>
  <si>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</si>
  <si>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</si>
  <si>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</si>
  <si>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</si>
  <si>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</si>
  <si>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</si>
  <si>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</si>
  <si>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</si>
  <si>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</si>
  <si>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</si>
  <si>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</si>
  <si>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</si>
  <si>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</si>
  <si>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</si>
  <si>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</si>
  <si>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</si>
  <si>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</si>
  <si>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</si>
  <si>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</si>
  <si>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</si>
  <si>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</si>
  <si>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</si>
  <si>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</si>
  <si>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</si>
  <si>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</si>
  <si>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</si>
  <si>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</si>
  <si>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</si>
  <si>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</si>
  <si>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</si>
  <si>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</si>
  <si>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</si>
  <si>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</si>
  <si>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</si>
  <si>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</si>
  <si>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</si>
  <si>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</si>
  <si>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</si>
  <si>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</si>
  <si>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</si>
  <si>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</si>
  <si>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</si>
  <si>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</si>
  <si>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</si>
  <si>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</si>
  <si>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</si>
  <si>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</si>
  <si>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</si>
  <si>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</si>
  <si>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</si>
  <si>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</si>
  <si>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</si>
  <si>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</si>
  <si>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</si>
  <si>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</si>
  <si>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</si>
  <si>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</si>
  <si>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</si>
  <si>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</si>
  <si>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</si>
  <si>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</si>
  <si>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</si>
  <si>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</si>
  <si>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</si>
  <si>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</si>
  <si>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</si>
  <si>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</si>
  <si>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</si>
  <si>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</si>
  <si>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</si>
  <si>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</si>
  <si>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</si>
  <si>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</si>
  <si>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</si>
  <si>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</si>
  <si>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</si>
  <si>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</si>
  <si>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</si>
  <si>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</si>
  <si>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</si>
  <si>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</si>
  <si>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</si>
  <si>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</si>
  <si>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</si>
  <si>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</si>
  <si>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</si>
  <si>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</si>
  <si>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</si>
  <si>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</si>
  <si>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</si>
  <si>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</si>
  <si>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</si>
  <si>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</si>
  <si>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</si>
  <si>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</si>
  <si>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</si>
  <si>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</si>
  <si>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</si>
  <si>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</si>
  <si>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</si>
  <si>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</si>
  <si>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</si>
  <si>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</si>
  <si>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</si>
  <si>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</si>
  <si>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</si>
  <si>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</si>
  <si>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</si>
  <si>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</si>
  <si>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</si>
  <si>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</si>
  <si>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</si>
  <si>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</si>
  <si>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</si>
  <si>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</si>
  <si>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</si>
  <si>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</si>
  <si>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</si>
  <si>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</si>
  <si>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</si>
  <si>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</si>
  <si>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</si>
  <si>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</si>
  <si>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</si>
  <si>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</si>
  <si>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</si>
  <si>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</si>
  <si>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</si>
  <si>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</si>
  <si>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</si>
  <si>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</si>
  <si>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</si>
  <si>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</si>
  <si>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</si>
  <si>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</si>
  <si>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</si>
  <si>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</si>
  <si>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</si>
  <si>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</si>
  <si>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</si>
  <si>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</si>
  <si>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</si>
  <si>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</si>
  <si>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</si>
  <si>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</si>
  <si>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</si>
  <si>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</si>
  <si>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</si>
  <si>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</si>
  <si>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</si>
  <si>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</si>
  <si>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</si>
  <si>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>Ação judiciária</t>
  </si>
  <si>
    <t>JANEIRO A JUNHO 2022/BIMESTRE MAIO - JUNHO</t>
  </si>
  <si>
    <t>Emissão: 19/07/2022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</si>
</sst>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895350</xdr:colOff>
      <xdr:row>0</xdr:row>
      <xdr:rowOff>76200</xdr:rowOff>
    </xdr:from>
    <xdr:to>
      <xdr:col>5</xdr:col>
      <xdr:colOff>66675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620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149</xdr:row>
      <xdr:rowOff>47625</xdr:rowOff>
    </xdr:from>
    <xdr:to>
      <xdr:col>5</xdr:col>
      <xdr:colOff>57150</xdr:colOff>
      <xdr:row>151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5369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298</xdr:row>
      <xdr:rowOff>38100</xdr:rowOff>
    </xdr:from>
    <xdr:to>
      <xdr:col>5</xdr:col>
      <xdr:colOff>66675</xdr:colOff>
      <xdr:row>300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68547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7"/>
  <sheetViews>
    <sheetView tabSelected="1" zoomScale="80" zoomScaleNormal="80" zoomScalePageLayoutView="0" workbookViewId="0" topLeftCell="A310">
      <selection activeCell="O313" sqref="N313:O335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.75">
      <c r="A4" s="116" t="s">
        <v>14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</row>
    <row r="5" spans="1:13" s="5" customFormat="1" ht="15.7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4"/>
    </row>
    <row r="6" spans="1:13" s="5" customFormat="1" ht="15.75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6"/>
    </row>
    <row r="7" spans="1:13" s="5" customFormat="1" ht="15.75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4"/>
    </row>
    <row r="8" spans="1:13" s="5" customFormat="1" ht="15.75">
      <c r="A8" s="116" t="s">
        <v>285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</row>
    <row r="9" spans="1:12" ht="15.75">
      <c r="A9" s="109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286</v>
      </c>
    </row>
    <row r="10" spans="1:13" s="7" customFormat="1" ht="15.7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.75">
      <c r="A11" s="11"/>
      <c r="B11" s="12"/>
      <c r="C11" s="13" t="s">
        <v>3</v>
      </c>
      <c r="D11" s="13" t="s">
        <v>3</v>
      </c>
      <c r="E11" s="118" t="s">
        <v>4</v>
      </c>
      <c r="F11" s="119"/>
      <c r="G11" s="120"/>
      <c r="H11" s="13" t="s">
        <v>18</v>
      </c>
      <c r="I11" s="118" t="s">
        <v>5</v>
      </c>
      <c r="J11" s="119"/>
      <c r="K11" s="119"/>
      <c r="L11" s="14" t="s">
        <v>18</v>
      </c>
      <c r="M11" s="8"/>
    </row>
    <row r="12" spans="1:13" s="7" customFormat="1" ht="15.7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.7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79">
        <f>C15+C26+C29+C35+C59+C83+C97+C103+C115+C124+C143+C163+C171+C179+C185+C190+C201+C211+C230+C234+C249+C260+C264+C266+C279+C285+C291</f>
        <v>87436734039</v>
      </c>
      <c r="D14" s="79">
        <f>D15+D26+D29+D35+D59+D83+D97+D103+D115+D124+D143+D163+D171+D179+D185+D190+D201+D211+D230+D234+D249+D260+D264+D266+D279+D285+D291</f>
        <v>98421898833.81</v>
      </c>
      <c r="E14" s="79">
        <f>E15+E26+E29+E35+E59+E83+E97+E103+E115+E124+E143+E163+E171+E179+E185+E190+E201+E211+E230+E234+E249+E260+E264+E266+E279+E285+E291</f>
        <v>15136262261.969997</v>
      </c>
      <c r="F14" s="79">
        <f>F15+F26+F29+F35+F59+F83+F97+F103+F115+F124+F143+F163+F171+F179+F185+F190+F201+F211+F230+F234+F249+F260+F264+F266+F279+F285+F291</f>
        <v>47134372506.49001</v>
      </c>
      <c r="G14" s="49">
        <f aca="true" t="shared" si="0" ref="G14:G45">(F14/$F$296)*100</f>
        <v>93.57547232795528</v>
      </c>
      <c r="H14" s="80">
        <f>D14-F14</f>
        <v>51287526327.319984</v>
      </c>
      <c r="I14" s="80">
        <f>I15+I26+I29+I35+I59+I83+I97+I103+I115+I124+I143+I163+I171+I179+I185+I190+I201+I211+I230+I234+I249+I260+I264+I266+I279+I285+I291</f>
        <v>15065717198.61</v>
      </c>
      <c r="J14" s="80">
        <f>J15+J26+J29+J35+J59+J83+J97+J103+J115+J124+J143+J163+J171+J179+J185+J190+J201+J211+J230+J234+J249+J260+J264+J266+J279+J285+J291</f>
        <v>37650306788.16999</v>
      </c>
      <c r="K14" s="49">
        <f aca="true" t="shared" si="1" ref="K14:K45">(J14/$J$296)*100</f>
        <v>93.43700073135062</v>
      </c>
      <c r="L14" s="97">
        <f>D14-J14</f>
        <v>60771592045.64001</v>
      </c>
      <c r="M14" s="8"/>
    </row>
    <row r="15" spans="1:13" s="7" customFormat="1" ht="15">
      <c r="A15" s="47" t="s">
        <v>25</v>
      </c>
      <c r="B15" s="50" t="s">
        <v>24</v>
      </c>
      <c r="C15" s="81">
        <f>SUM(C16:C25)</f>
        <v>2335536456</v>
      </c>
      <c r="D15" s="81">
        <f>SUM(D16:D25)</f>
        <v>2377605603.71</v>
      </c>
      <c r="E15" s="81">
        <f>SUM(E16:E25)</f>
        <v>219383650.87999994</v>
      </c>
      <c r="F15" s="81">
        <f>SUM(F16:F25)</f>
        <v>955103052.9999999</v>
      </c>
      <c r="G15" s="49">
        <f t="shared" si="0"/>
        <v>1.8961580382562855</v>
      </c>
      <c r="H15" s="81">
        <f>D15-F15</f>
        <v>1422502550.71</v>
      </c>
      <c r="I15" s="81">
        <f>SUM(I16:I25)</f>
        <v>279693319.04999995</v>
      </c>
      <c r="J15" s="81">
        <f>SUM(J16:J25)</f>
        <v>790787644.93</v>
      </c>
      <c r="K15" s="51">
        <f t="shared" si="1"/>
        <v>1.9625026211176548</v>
      </c>
      <c r="L15" s="84">
        <f>D15-J15</f>
        <v>1586817958.7800002</v>
      </c>
      <c r="M15" s="8"/>
    </row>
    <row r="16" spans="1:13" s="7" customFormat="1" ht="15">
      <c r="A16" s="52" t="s">
        <v>26</v>
      </c>
      <c r="B16" s="53" t="s">
        <v>31</v>
      </c>
      <c r="C16" s="82">
        <v>14774020</v>
      </c>
      <c r="D16" s="82">
        <v>141116029.71</v>
      </c>
      <c r="E16" s="82">
        <f>F16-89191226.73</f>
        <v>29356103.58</v>
      </c>
      <c r="F16" s="82">
        <v>118547330.31</v>
      </c>
      <c r="G16" s="55">
        <f t="shared" si="0"/>
        <v>0.23535101534339825</v>
      </c>
      <c r="H16" s="82">
        <f aca="true" t="shared" si="2" ref="H16:H147">D16-F16</f>
        <v>22568699.400000006</v>
      </c>
      <c r="I16" s="82">
        <f>J16-87925971.05</f>
        <v>29095608.820000008</v>
      </c>
      <c r="J16" s="82">
        <v>117021579.87</v>
      </c>
      <c r="K16" s="56">
        <f t="shared" si="1"/>
        <v>0.290413183228897</v>
      </c>
      <c r="L16" s="85">
        <f aca="true" t="shared" si="3" ref="L16:L147">D16-J16</f>
        <v>24094449.840000004</v>
      </c>
      <c r="M16" s="8"/>
    </row>
    <row r="17" spans="1:13" s="7" customFormat="1" ht="15">
      <c r="A17" s="52" t="s">
        <v>27</v>
      </c>
      <c r="B17" s="53" t="s">
        <v>32</v>
      </c>
      <c r="C17" s="82">
        <v>40584247</v>
      </c>
      <c r="D17" s="82">
        <v>40584247</v>
      </c>
      <c r="E17" s="82">
        <f>F17-318409.71</f>
        <v>1932016.2000000002</v>
      </c>
      <c r="F17" s="82">
        <v>2250425.91</v>
      </c>
      <c r="G17" s="56">
        <f t="shared" si="0"/>
        <v>0.004467751584861406</v>
      </c>
      <c r="H17" s="82">
        <f t="shared" si="2"/>
        <v>38333821.09</v>
      </c>
      <c r="I17" s="82">
        <f>J17-120826.41</f>
        <v>979333.0399999999</v>
      </c>
      <c r="J17" s="82">
        <v>1100159.45</v>
      </c>
      <c r="K17" s="56">
        <f t="shared" si="1"/>
        <v>0.002730272555615707</v>
      </c>
      <c r="L17" s="85">
        <f t="shared" si="3"/>
        <v>39484087.55</v>
      </c>
      <c r="M17" s="8"/>
    </row>
    <row r="18" spans="1:13" s="7" customFormat="1" ht="15">
      <c r="A18" s="52" t="s">
        <v>28</v>
      </c>
      <c r="B18" s="53" t="s">
        <v>33</v>
      </c>
      <c r="C18" s="82">
        <v>2243980724</v>
      </c>
      <c r="D18" s="82">
        <v>2160409699</v>
      </c>
      <c r="E18" s="82">
        <f>F18-636665107.71</f>
        <v>187377773.04999995</v>
      </c>
      <c r="F18" s="82">
        <v>824042880.76</v>
      </c>
      <c r="G18" s="56">
        <f t="shared" si="0"/>
        <v>1.6359653833301482</v>
      </c>
      <c r="H18" s="82">
        <f t="shared" si="2"/>
        <v>1336366818.24</v>
      </c>
      <c r="I18" s="82">
        <f>J18-420170309.82</f>
        <v>248978421.98999995</v>
      </c>
      <c r="J18" s="82">
        <v>669148731.81</v>
      </c>
      <c r="K18" s="56">
        <f t="shared" si="1"/>
        <v>1.6606305732190894</v>
      </c>
      <c r="L18" s="85">
        <f t="shared" si="3"/>
        <v>1491260967.19</v>
      </c>
      <c r="M18" s="8"/>
    </row>
    <row r="19" spans="1:13" s="7" customFormat="1" ht="15">
      <c r="A19" s="52" t="s">
        <v>50</v>
      </c>
      <c r="B19" s="53" t="s">
        <v>57</v>
      </c>
      <c r="C19" s="82">
        <v>27415353</v>
      </c>
      <c r="D19" s="82">
        <v>27415353</v>
      </c>
      <c r="E19" s="82">
        <f>F19-7722532.45</f>
        <v>1469031.8500000006</v>
      </c>
      <c r="F19" s="82">
        <v>9191564.3</v>
      </c>
      <c r="G19" s="56">
        <f t="shared" si="0"/>
        <v>0.018247935106950715</v>
      </c>
      <c r="H19" s="82">
        <f>D19-F19</f>
        <v>18223788.7</v>
      </c>
      <c r="I19" s="82">
        <f>J19-2657264.93</f>
        <v>375330</v>
      </c>
      <c r="J19" s="82">
        <v>3032594.93</v>
      </c>
      <c r="K19" s="56">
        <f t="shared" si="1"/>
        <v>0.007526009715844678</v>
      </c>
      <c r="L19" s="85">
        <f>D19-J19</f>
        <v>24382758.07</v>
      </c>
      <c r="M19" s="8"/>
    </row>
    <row r="20" spans="1:13" s="7" customFormat="1" ht="15">
      <c r="A20" s="52" t="s">
        <v>29</v>
      </c>
      <c r="B20" s="53" t="s">
        <v>34</v>
      </c>
      <c r="C20" s="82">
        <v>6412941</v>
      </c>
      <c r="D20" s="82">
        <v>5911104</v>
      </c>
      <c r="E20" s="82">
        <f>F20-1803574.97</f>
        <v>-751886.31</v>
      </c>
      <c r="F20" s="82">
        <v>1051688.66</v>
      </c>
      <c r="G20" s="56">
        <f t="shared" si="0"/>
        <v>0.0020879086294806155</v>
      </c>
      <c r="H20" s="82">
        <f t="shared" si="2"/>
        <v>4859415.34</v>
      </c>
      <c r="I20" s="82">
        <f>J20-219656.66</f>
        <v>261612.68999999997</v>
      </c>
      <c r="J20" s="82">
        <v>481269.35</v>
      </c>
      <c r="K20" s="56">
        <f t="shared" si="1"/>
        <v>0.0011943691418221333</v>
      </c>
      <c r="L20" s="85">
        <f t="shared" si="3"/>
        <v>5429834.65</v>
      </c>
      <c r="M20" s="8"/>
    </row>
    <row r="21" spans="1:13" s="7" customFormat="1" ht="15">
      <c r="A21" s="52" t="s">
        <v>164</v>
      </c>
      <c r="B21" s="53" t="s">
        <v>165</v>
      </c>
      <c r="C21" s="82">
        <v>100000</v>
      </c>
      <c r="D21" s="82">
        <v>0</v>
      </c>
      <c r="E21" s="82">
        <f>F21-0</f>
        <v>0</v>
      </c>
      <c r="F21" s="82">
        <v>0</v>
      </c>
      <c r="G21" s="56">
        <f t="shared" si="0"/>
        <v>0</v>
      </c>
      <c r="H21" s="82">
        <f t="shared" si="2"/>
        <v>0</v>
      </c>
      <c r="I21" s="82">
        <f>J21-0</f>
        <v>0</v>
      </c>
      <c r="J21" s="82">
        <v>0</v>
      </c>
      <c r="K21" s="56">
        <f t="shared" si="1"/>
        <v>0</v>
      </c>
      <c r="L21" s="85">
        <f t="shared" si="3"/>
        <v>0</v>
      </c>
      <c r="M21" s="8"/>
    </row>
    <row r="22" spans="1:13" s="7" customFormat="1" ht="15">
      <c r="A22" s="52" t="s">
        <v>117</v>
      </c>
      <c r="B22" s="53" t="s">
        <v>124</v>
      </c>
      <c r="C22" s="82">
        <v>541734</v>
      </c>
      <c r="D22" s="82">
        <v>541734</v>
      </c>
      <c r="E22" s="82">
        <f>F22-10800</f>
        <v>612.5100000000002</v>
      </c>
      <c r="F22" s="82">
        <v>11412.51</v>
      </c>
      <c r="G22" s="56">
        <f t="shared" si="0"/>
        <v>2.2657159879458834E-05</v>
      </c>
      <c r="H22" s="82">
        <f t="shared" si="2"/>
        <v>530321.49</v>
      </c>
      <c r="I22" s="82">
        <f>J22-0</f>
        <v>3012.51</v>
      </c>
      <c r="J22" s="82">
        <v>3012.51</v>
      </c>
      <c r="K22" s="56">
        <f t="shared" si="1"/>
        <v>7.4761648200339274E-06</v>
      </c>
      <c r="L22" s="85">
        <f t="shared" si="3"/>
        <v>538721.49</v>
      </c>
      <c r="M22" s="8"/>
    </row>
    <row r="23" spans="1:13" s="7" customFormat="1" ht="15">
      <c r="A23" s="52" t="s">
        <v>53</v>
      </c>
      <c r="B23" s="53" t="s">
        <v>60</v>
      </c>
      <c r="C23" s="82">
        <v>1497437</v>
      </c>
      <c r="D23" s="82">
        <v>1497437</v>
      </c>
      <c r="E23" s="82">
        <v>0</v>
      </c>
      <c r="F23" s="82">
        <v>0</v>
      </c>
      <c r="G23" s="56">
        <f t="shared" si="0"/>
        <v>0</v>
      </c>
      <c r="H23" s="82">
        <f t="shared" si="2"/>
        <v>1497437</v>
      </c>
      <c r="I23" s="82">
        <f>J23-0</f>
        <v>0</v>
      </c>
      <c r="J23" s="82">
        <v>0</v>
      </c>
      <c r="K23" s="56">
        <f t="shared" si="1"/>
        <v>0</v>
      </c>
      <c r="L23" s="85">
        <f t="shared" si="3"/>
        <v>1497437</v>
      </c>
      <c r="M23" s="8"/>
    </row>
    <row r="24" spans="1:13" s="7" customFormat="1" ht="15">
      <c r="A24" s="52" t="s">
        <v>30</v>
      </c>
      <c r="B24" s="53" t="s">
        <v>35</v>
      </c>
      <c r="C24" s="82">
        <v>130000</v>
      </c>
      <c r="D24" s="82">
        <v>130000</v>
      </c>
      <c r="E24" s="82">
        <f>F24-7750.55</f>
        <v>0</v>
      </c>
      <c r="F24" s="82">
        <v>7750.55</v>
      </c>
      <c r="G24" s="56">
        <f t="shared" si="0"/>
        <v>1.538710156694186E-05</v>
      </c>
      <c r="H24" s="82">
        <f t="shared" si="2"/>
        <v>122249.45</v>
      </c>
      <c r="I24" s="82">
        <f>J24-297.01</f>
        <v>0</v>
      </c>
      <c r="J24" s="82">
        <v>297.01</v>
      </c>
      <c r="K24" s="56">
        <f t="shared" si="1"/>
        <v>7.370915659029436E-07</v>
      </c>
      <c r="L24" s="85">
        <f t="shared" si="3"/>
        <v>129702.99</v>
      </c>
      <c r="M24" s="8"/>
    </row>
    <row r="25" spans="1:13" s="7" customFormat="1" ht="15">
      <c r="A25" s="52" t="s">
        <v>160</v>
      </c>
      <c r="B25" s="53" t="s">
        <v>161</v>
      </c>
      <c r="C25" s="82">
        <v>100000</v>
      </c>
      <c r="D25" s="82">
        <v>0</v>
      </c>
      <c r="E25" s="82">
        <f>F25-0</f>
        <v>0</v>
      </c>
      <c r="F25" s="82">
        <v>0</v>
      </c>
      <c r="G25" s="56">
        <f t="shared" si="0"/>
        <v>0</v>
      </c>
      <c r="H25" s="82">
        <f t="shared" si="2"/>
        <v>0</v>
      </c>
      <c r="I25" s="82">
        <f>J25-0</f>
        <v>0</v>
      </c>
      <c r="J25" s="82">
        <v>0</v>
      </c>
      <c r="K25" s="56">
        <f t="shared" si="1"/>
        <v>0</v>
      </c>
      <c r="L25" s="85">
        <f t="shared" si="3"/>
        <v>0</v>
      </c>
      <c r="M25" s="8"/>
    </row>
    <row r="26" spans="1:13" s="7" customFormat="1" ht="15">
      <c r="A26" s="47" t="s">
        <v>36</v>
      </c>
      <c r="B26" s="50" t="s">
        <v>37</v>
      </c>
      <c r="C26" s="81">
        <f>SUM(C27:C28)</f>
        <v>5317396368</v>
      </c>
      <c r="D26" s="81">
        <f>SUM(D27:D28)</f>
        <v>5317396368</v>
      </c>
      <c r="E26" s="81">
        <f>SUM(E27:E28)</f>
        <v>860949467.57</v>
      </c>
      <c r="F26" s="81">
        <f>SUM(F27:F28)</f>
        <v>2864174255.52</v>
      </c>
      <c r="G26" s="56">
        <f t="shared" si="0"/>
        <v>5.686221000458849</v>
      </c>
      <c r="H26" s="81">
        <f t="shared" si="2"/>
        <v>2453222112.48</v>
      </c>
      <c r="I26" s="81">
        <f>SUM(I27:I28)</f>
        <v>974544593.65</v>
      </c>
      <c r="J26" s="81">
        <f>SUM(J27:J28)</f>
        <v>2307907082.83</v>
      </c>
      <c r="K26" s="51">
        <f t="shared" si="1"/>
        <v>5.727547374302748</v>
      </c>
      <c r="L26" s="84">
        <f t="shared" si="3"/>
        <v>3009489285.17</v>
      </c>
      <c r="M26" s="8"/>
    </row>
    <row r="27" spans="1:13" s="7" customFormat="1" ht="15">
      <c r="A27" s="52" t="s">
        <v>38</v>
      </c>
      <c r="B27" s="53" t="s">
        <v>40</v>
      </c>
      <c r="C27" s="82">
        <v>1743806773</v>
      </c>
      <c r="D27" s="82">
        <v>1743806773</v>
      </c>
      <c r="E27" s="82">
        <f>F27-1064562746.67</f>
        <v>190004113.2700001</v>
      </c>
      <c r="F27" s="82">
        <v>1254566859.94</v>
      </c>
      <c r="G27" s="56">
        <f t="shared" si="0"/>
        <v>2.4906810092723877</v>
      </c>
      <c r="H27" s="82">
        <f t="shared" si="2"/>
        <v>489239913.05999994</v>
      </c>
      <c r="I27" s="82">
        <f>J27-394700447.9</f>
        <v>303599239.35</v>
      </c>
      <c r="J27" s="82">
        <v>698299687.25</v>
      </c>
      <c r="K27" s="56">
        <f t="shared" si="1"/>
        <v>1.7329746808007755</v>
      </c>
      <c r="L27" s="85">
        <f t="shared" si="3"/>
        <v>1045507085.75</v>
      </c>
      <c r="M27" s="8"/>
    </row>
    <row r="28" spans="1:13" s="7" customFormat="1" ht="15">
      <c r="A28" s="52" t="s">
        <v>28</v>
      </c>
      <c r="B28" s="53" t="s">
        <v>33</v>
      </c>
      <c r="C28" s="82">
        <v>3573589595</v>
      </c>
      <c r="D28" s="82">
        <v>3573589595</v>
      </c>
      <c r="E28" s="82">
        <f>F28-938662041.28</f>
        <v>670945354.3</v>
      </c>
      <c r="F28" s="82">
        <v>1609607395.58</v>
      </c>
      <c r="G28" s="56">
        <f t="shared" si="0"/>
        <v>3.1955399911864606</v>
      </c>
      <c r="H28" s="82">
        <f t="shared" si="2"/>
        <v>1963982199.42</v>
      </c>
      <c r="I28" s="82">
        <f>J28-938662041.28</f>
        <v>670945354.3</v>
      </c>
      <c r="J28" s="82">
        <v>1609607395.58</v>
      </c>
      <c r="K28" s="56">
        <f t="shared" si="1"/>
        <v>3.994572693501973</v>
      </c>
      <c r="L28" s="85">
        <f t="shared" si="3"/>
        <v>1963982199.42</v>
      </c>
      <c r="M28" s="8"/>
    </row>
    <row r="29" spans="1:13" s="7" customFormat="1" ht="15">
      <c r="A29" s="47" t="s">
        <v>42</v>
      </c>
      <c r="B29" s="50" t="s">
        <v>43</v>
      </c>
      <c r="C29" s="81">
        <f>SUM(C30:C34)</f>
        <v>3224327166</v>
      </c>
      <c r="D29" s="81">
        <f>SUM(D30:D34)</f>
        <v>3598127054.77</v>
      </c>
      <c r="E29" s="81">
        <f>SUM(E30:E34)</f>
        <v>272699114.54</v>
      </c>
      <c r="F29" s="81">
        <f>SUM(F30:F34)</f>
        <v>2242680862.7900004</v>
      </c>
      <c r="G29" s="51">
        <f t="shared" si="0"/>
        <v>4.452375407937055</v>
      </c>
      <c r="H29" s="81">
        <f t="shared" si="2"/>
        <v>1355446191.9799995</v>
      </c>
      <c r="I29" s="81">
        <f>SUM(I30:I34)</f>
        <v>494778490.4399999</v>
      </c>
      <c r="J29" s="81">
        <f>SUM(J30:J34)</f>
        <v>1300465584.4899998</v>
      </c>
      <c r="K29" s="51">
        <f t="shared" si="1"/>
        <v>3.227373536495811</v>
      </c>
      <c r="L29" s="84">
        <f t="shared" si="3"/>
        <v>2297661470.28</v>
      </c>
      <c r="M29" s="8"/>
    </row>
    <row r="30" spans="1:13" s="7" customFormat="1" ht="15">
      <c r="A30" s="52" t="s">
        <v>44</v>
      </c>
      <c r="B30" s="53" t="s">
        <v>45</v>
      </c>
      <c r="C30" s="82">
        <v>32171260</v>
      </c>
      <c r="D30" s="82">
        <v>32171260</v>
      </c>
      <c r="E30" s="82">
        <f>F30-6538314.09</f>
        <v>8547488.75</v>
      </c>
      <c r="F30" s="82">
        <v>15085802.84</v>
      </c>
      <c r="G30" s="56">
        <f t="shared" si="0"/>
        <v>0.029949717183675995</v>
      </c>
      <c r="H30" s="82">
        <f t="shared" si="2"/>
        <v>17085457.16</v>
      </c>
      <c r="I30" s="82">
        <f>J30-214516.09</f>
        <v>1806133.3399999999</v>
      </c>
      <c r="J30" s="82">
        <v>2020649.43</v>
      </c>
      <c r="K30" s="56">
        <f t="shared" si="1"/>
        <v>0.0050146582690804705</v>
      </c>
      <c r="L30" s="85">
        <f t="shared" si="3"/>
        <v>30150610.57</v>
      </c>
      <c r="M30" s="8"/>
    </row>
    <row r="31" spans="1:13" s="7" customFormat="1" ht="15">
      <c r="A31" s="52" t="s">
        <v>229</v>
      </c>
      <c r="B31" s="53" t="s">
        <v>230</v>
      </c>
      <c r="C31" s="82">
        <v>1150000</v>
      </c>
      <c r="D31" s="82">
        <v>1375989.73</v>
      </c>
      <c r="E31" s="82">
        <f>F31-210000</f>
        <v>0</v>
      </c>
      <c r="F31" s="82">
        <v>210000</v>
      </c>
      <c r="G31" s="56">
        <f t="shared" si="0"/>
        <v>0.0004169112294040798</v>
      </c>
      <c r="H31" s="82">
        <f>D31-F31</f>
        <v>1165989.73</v>
      </c>
      <c r="I31" s="82">
        <f>J31-13552.82</f>
        <v>44432.340000000004</v>
      </c>
      <c r="J31" s="82">
        <v>57985.16</v>
      </c>
      <c r="K31" s="56">
        <f t="shared" si="1"/>
        <v>0.00014390213253268486</v>
      </c>
      <c r="L31" s="85">
        <f>D31-J31</f>
        <v>1318004.57</v>
      </c>
      <c r="M31" s="8"/>
    </row>
    <row r="32" spans="1:13" s="7" customFormat="1" ht="15">
      <c r="A32" s="52" t="s">
        <v>28</v>
      </c>
      <c r="B32" s="53" t="s">
        <v>33</v>
      </c>
      <c r="C32" s="82">
        <v>3047126824</v>
      </c>
      <c r="D32" s="82">
        <v>3231618903.67</v>
      </c>
      <c r="E32" s="82">
        <f>F32-1924799613.25</f>
        <v>240218672.48000002</v>
      </c>
      <c r="F32" s="82">
        <v>2165018285.73</v>
      </c>
      <c r="G32" s="56">
        <f t="shared" si="0"/>
        <v>4.298192548504798</v>
      </c>
      <c r="H32" s="82">
        <f t="shared" si="2"/>
        <v>1066600617.94</v>
      </c>
      <c r="I32" s="82">
        <f>J32-776657627.21</f>
        <v>472714114.14999986</v>
      </c>
      <c r="J32" s="82">
        <v>1249371741.36</v>
      </c>
      <c r="K32" s="56">
        <f t="shared" si="1"/>
        <v>3.100573627938217</v>
      </c>
      <c r="L32" s="85">
        <f>D32-J32</f>
        <v>1982247162.3100002</v>
      </c>
      <c r="M32" s="8"/>
    </row>
    <row r="33" spans="1:13" s="7" customFormat="1" ht="15">
      <c r="A33" s="52" t="s">
        <v>50</v>
      </c>
      <c r="B33" s="53" t="s">
        <v>268</v>
      </c>
      <c r="C33" s="82">
        <v>26837031</v>
      </c>
      <c r="D33" s="82">
        <v>92332467</v>
      </c>
      <c r="E33" s="82">
        <f>F33-12175680.59</f>
        <v>6229778.830000002</v>
      </c>
      <c r="F33" s="82">
        <v>18405459.42</v>
      </c>
      <c r="G33" s="56">
        <f t="shared" si="0"/>
        <v>0.03654020340256716</v>
      </c>
      <c r="H33" s="82">
        <f t="shared" si="2"/>
        <v>73927007.58</v>
      </c>
      <c r="I33" s="82">
        <f>J33-3968225.26</f>
        <v>4850294.76</v>
      </c>
      <c r="J33" s="82">
        <v>8818520.02</v>
      </c>
      <c r="K33" s="56">
        <f t="shared" si="1"/>
        <v>0.021884976029387083</v>
      </c>
      <c r="L33" s="85">
        <f>D33-J33</f>
        <v>83513946.98</v>
      </c>
      <c r="M33" s="8"/>
    </row>
    <row r="34" spans="1:13" s="7" customFormat="1" ht="15">
      <c r="A34" s="52" t="s">
        <v>29</v>
      </c>
      <c r="B34" s="53" t="s">
        <v>34</v>
      </c>
      <c r="C34" s="82">
        <v>117042051</v>
      </c>
      <c r="D34" s="82">
        <v>240628434.37</v>
      </c>
      <c r="E34" s="82">
        <f>F34-26258140.32</f>
        <v>17703174.479999997</v>
      </c>
      <c r="F34" s="82">
        <v>43961314.8</v>
      </c>
      <c r="G34" s="56">
        <f t="shared" si="0"/>
        <v>0.08727602761660841</v>
      </c>
      <c r="H34" s="82">
        <f t="shared" si="2"/>
        <v>196667119.57</v>
      </c>
      <c r="I34" s="82">
        <f>J34-24833172.67</f>
        <v>15363515.850000001</v>
      </c>
      <c r="J34" s="82">
        <v>40196688.52</v>
      </c>
      <c r="K34" s="56">
        <f t="shared" si="1"/>
        <v>0.099756372126594</v>
      </c>
      <c r="L34" s="85">
        <f t="shared" si="3"/>
        <v>200431745.85</v>
      </c>
      <c r="M34" s="8"/>
    </row>
    <row r="35" spans="1:13" s="7" customFormat="1" ht="15">
      <c r="A35" s="47" t="s">
        <v>46</v>
      </c>
      <c r="B35" s="50" t="s">
        <v>47</v>
      </c>
      <c r="C35" s="81">
        <f>SUM(C36:C58)</f>
        <v>5096490201</v>
      </c>
      <c r="D35" s="81">
        <f>SUM(D36:D58)</f>
        <v>5826348953.86</v>
      </c>
      <c r="E35" s="81">
        <f>SUM(E36:E58)</f>
        <v>916473964.6700001</v>
      </c>
      <c r="F35" s="81">
        <f>SUM(F36:F58)</f>
        <v>1980952733.0700002</v>
      </c>
      <c r="G35" s="51">
        <f t="shared" si="0"/>
        <v>3.9327687587408846</v>
      </c>
      <c r="H35" s="81">
        <f t="shared" si="2"/>
        <v>3845396220.7899995</v>
      </c>
      <c r="I35" s="81">
        <f>SUM(I36:I58)</f>
        <v>733977142.0899999</v>
      </c>
      <c r="J35" s="81">
        <f>SUM(J36:J58)</f>
        <v>1704549515.24</v>
      </c>
      <c r="K35" s="51">
        <f t="shared" si="1"/>
        <v>4.230191142881907</v>
      </c>
      <c r="L35" s="84">
        <f t="shared" si="3"/>
        <v>4121799438.62</v>
      </c>
      <c r="M35" s="8"/>
    </row>
    <row r="36" spans="1:13" s="7" customFormat="1" ht="15">
      <c r="A36" s="52" t="s">
        <v>48</v>
      </c>
      <c r="B36" s="53" t="s">
        <v>55</v>
      </c>
      <c r="C36" s="82">
        <v>138943790</v>
      </c>
      <c r="D36" s="82">
        <v>340259.17</v>
      </c>
      <c r="E36" s="82">
        <f>F36-0</f>
        <v>0</v>
      </c>
      <c r="F36" s="82">
        <v>0</v>
      </c>
      <c r="G36" s="56">
        <f t="shared" si="0"/>
        <v>0</v>
      </c>
      <c r="H36" s="82">
        <f t="shared" si="2"/>
        <v>340259.17</v>
      </c>
      <c r="I36" s="82">
        <f>J36-0</f>
        <v>0</v>
      </c>
      <c r="J36" s="82">
        <v>0</v>
      </c>
      <c r="K36" s="56">
        <f t="shared" si="1"/>
        <v>0</v>
      </c>
      <c r="L36" s="85">
        <f t="shared" si="3"/>
        <v>340259.17</v>
      </c>
      <c r="M36" s="8"/>
    </row>
    <row r="37" spans="1:13" s="7" customFormat="1" ht="15">
      <c r="A37" s="52" t="s">
        <v>28</v>
      </c>
      <c r="B37" s="53" t="s">
        <v>33</v>
      </c>
      <c r="C37" s="82">
        <v>3251469438</v>
      </c>
      <c r="D37" s="82">
        <v>3178216254.9</v>
      </c>
      <c r="E37" s="82">
        <f>F37-474984974.77</f>
        <v>503804748.74</v>
      </c>
      <c r="F37" s="82">
        <v>978789723.51</v>
      </c>
      <c r="G37" s="56">
        <f t="shared" si="0"/>
        <v>1.9431829855077785</v>
      </c>
      <c r="H37" s="82">
        <f t="shared" si="2"/>
        <v>2199426531.3900003</v>
      </c>
      <c r="I37" s="82">
        <f>J37-412130105.51</f>
        <v>349197226.64</v>
      </c>
      <c r="J37" s="82">
        <v>761327332.15</v>
      </c>
      <c r="K37" s="56">
        <f t="shared" si="1"/>
        <v>1.889390779499525</v>
      </c>
      <c r="L37" s="85">
        <f t="shared" si="3"/>
        <v>2416888922.75</v>
      </c>
      <c r="M37" s="8"/>
    </row>
    <row r="38" spans="1:13" s="7" customFormat="1" ht="15">
      <c r="A38" s="52" t="s">
        <v>39</v>
      </c>
      <c r="B38" s="53" t="s">
        <v>41</v>
      </c>
      <c r="C38" s="82">
        <v>50430289</v>
      </c>
      <c r="D38" s="82">
        <v>50099815.5</v>
      </c>
      <c r="E38" s="82">
        <f>F38-6749003.96</f>
        <v>15843</v>
      </c>
      <c r="F38" s="82">
        <v>6764846.96</v>
      </c>
      <c r="G38" s="56">
        <f t="shared" si="0"/>
        <v>0.013430193632495485</v>
      </c>
      <c r="H38" s="82">
        <f t="shared" si="2"/>
        <v>43334968.54</v>
      </c>
      <c r="I38" s="82">
        <f>J38-827672</f>
        <v>548689.3400000001</v>
      </c>
      <c r="J38" s="82">
        <v>1376361.34</v>
      </c>
      <c r="K38" s="56">
        <f t="shared" si="1"/>
        <v>0.003415724505400067</v>
      </c>
      <c r="L38" s="85">
        <f t="shared" si="3"/>
        <v>48723454.16</v>
      </c>
      <c r="M38" s="8"/>
    </row>
    <row r="39" spans="1:13" s="7" customFormat="1" ht="15">
      <c r="A39" s="52" t="s">
        <v>232</v>
      </c>
      <c r="B39" s="53" t="s">
        <v>231</v>
      </c>
      <c r="C39" s="82">
        <v>6236742</v>
      </c>
      <c r="D39" s="82">
        <v>6236742</v>
      </c>
      <c r="E39" s="82">
        <f>F39-1150.5</f>
        <v>6534.18</v>
      </c>
      <c r="F39" s="82">
        <v>7684.68</v>
      </c>
      <c r="G39" s="56">
        <f t="shared" si="0"/>
        <v>1.5256330411318783E-05</v>
      </c>
      <c r="H39" s="82">
        <f t="shared" si="2"/>
        <v>6229057.32</v>
      </c>
      <c r="I39" s="82">
        <f>J39-1150.5</f>
        <v>6534.18</v>
      </c>
      <c r="J39" s="82">
        <v>7684.68</v>
      </c>
      <c r="K39" s="56">
        <f t="shared" si="1"/>
        <v>1.907111819353905E-05</v>
      </c>
      <c r="L39" s="85">
        <f t="shared" si="3"/>
        <v>6229057.32</v>
      </c>
      <c r="M39" s="8"/>
    </row>
    <row r="40" spans="1:13" s="7" customFormat="1" ht="15">
      <c r="A40" s="52" t="s">
        <v>49</v>
      </c>
      <c r="B40" s="53" t="s">
        <v>56</v>
      </c>
      <c r="C40" s="82">
        <v>2811765</v>
      </c>
      <c r="D40" s="82">
        <v>2811765</v>
      </c>
      <c r="E40" s="82">
        <f>F40-1188244.44</f>
        <v>589179.8900000001</v>
      </c>
      <c r="F40" s="82">
        <v>1777424.33</v>
      </c>
      <c r="G40" s="56">
        <f t="shared" si="0"/>
        <v>0.003528705536157252</v>
      </c>
      <c r="H40" s="82">
        <f t="shared" si="2"/>
        <v>1034340.6699999999</v>
      </c>
      <c r="I40" s="82">
        <f>J40-661218.63</f>
        <v>424017.87</v>
      </c>
      <c r="J40" s="82">
        <v>1085236.5</v>
      </c>
      <c r="K40" s="56">
        <f t="shared" si="1"/>
        <v>0.002693238177704555</v>
      </c>
      <c r="L40" s="85">
        <f t="shared" si="3"/>
        <v>1726528.5</v>
      </c>
      <c r="M40" s="8"/>
    </row>
    <row r="41" spans="1:13" s="7" customFormat="1" ht="15">
      <c r="A41" s="52" t="s">
        <v>50</v>
      </c>
      <c r="B41" s="53" t="s">
        <v>57</v>
      </c>
      <c r="C41" s="82">
        <v>133138578</v>
      </c>
      <c r="D41" s="82">
        <v>133138578</v>
      </c>
      <c r="E41" s="82">
        <f>F41-23822349.98</f>
        <v>3002019.129999999</v>
      </c>
      <c r="F41" s="82">
        <v>26824369.11</v>
      </c>
      <c r="G41" s="56">
        <f t="shared" si="0"/>
        <v>0.053254193826852</v>
      </c>
      <c r="H41" s="82">
        <f t="shared" si="2"/>
        <v>106314208.89</v>
      </c>
      <c r="I41" s="82">
        <f>J41-3274582.14</f>
        <v>3531565.31</v>
      </c>
      <c r="J41" s="82">
        <v>6806147.45</v>
      </c>
      <c r="K41" s="56">
        <f t="shared" si="1"/>
        <v>0.016890858495292507</v>
      </c>
      <c r="L41" s="85">
        <f t="shared" si="3"/>
        <v>126332430.55</v>
      </c>
      <c r="M41" s="8"/>
    </row>
    <row r="42" spans="1:13" s="7" customFormat="1" ht="15">
      <c r="A42" s="52" t="s">
        <v>51</v>
      </c>
      <c r="B42" s="53" t="s">
        <v>58</v>
      </c>
      <c r="C42" s="82">
        <v>6006000</v>
      </c>
      <c r="D42" s="82">
        <v>6006000</v>
      </c>
      <c r="E42" s="82">
        <f>F42-0</f>
        <v>0</v>
      </c>
      <c r="F42" s="82">
        <v>0</v>
      </c>
      <c r="G42" s="56">
        <f t="shared" si="0"/>
        <v>0</v>
      </c>
      <c r="H42" s="82">
        <f t="shared" si="2"/>
        <v>6006000</v>
      </c>
      <c r="I42" s="82">
        <f aca="true" t="shared" si="4" ref="I42:I58">J42-0</f>
        <v>0</v>
      </c>
      <c r="J42" s="82">
        <v>0</v>
      </c>
      <c r="K42" s="56">
        <f t="shared" si="1"/>
        <v>0</v>
      </c>
      <c r="L42" s="85">
        <f t="shared" si="3"/>
        <v>6006000</v>
      </c>
      <c r="M42" s="8"/>
    </row>
    <row r="43" spans="1:13" s="7" customFormat="1" ht="15">
      <c r="A43" s="52" t="s">
        <v>29</v>
      </c>
      <c r="B43" s="53" t="s">
        <v>34</v>
      </c>
      <c r="C43" s="82">
        <v>6957082</v>
      </c>
      <c r="D43" s="82">
        <v>4543182</v>
      </c>
      <c r="E43" s="82">
        <f>F43-778121.87</f>
        <v>272533.62</v>
      </c>
      <c r="F43" s="82">
        <v>1050655.49</v>
      </c>
      <c r="G43" s="56">
        <f t="shared" si="0"/>
        <v>0.0020858574857906946</v>
      </c>
      <c r="H43" s="82">
        <f t="shared" si="2"/>
        <v>3492526.51</v>
      </c>
      <c r="I43" s="82">
        <f>J43-686823.99</f>
        <v>299328.62</v>
      </c>
      <c r="J43" s="82">
        <v>986152.61</v>
      </c>
      <c r="K43" s="56">
        <f t="shared" si="1"/>
        <v>0.0024473410710891042</v>
      </c>
      <c r="L43" s="85">
        <f t="shared" si="3"/>
        <v>3557029.39</v>
      </c>
      <c r="M43" s="8"/>
    </row>
    <row r="44" spans="1:13" s="7" customFormat="1" ht="15">
      <c r="A44" s="52" t="s">
        <v>233</v>
      </c>
      <c r="B44" s="53" t="s">
        <v>234</v>
      </c>
      <c r="C44" s="82">
        <v>0</v>
      </c>
      <c r="D44" s="82">
        <v>0</v>
      </c>
      <c r="E44" s="82">
        <f>F44-0</f>
        <v>0</v>
      </c>
      <c r="F44" s="82">
        <v>0</v>
      </c>
      <c r="G44" s="56">
        <f t="shared" si="0"/>
        <v>0</v>
      </c>
      <c r="H44" s="82">
        <f t="shared" si="2"/>
        <v>0</v>
      </c>
      <c r="I44" s="82">
        <f t="shared" si="4"/>
        <v>0</v>
      </c>
      <c r="J44" s="82">
        <v>0</v>
      </c>
      <c r="K44" s="56">
        <f t="shared" si="1"/>
        <v>0</v>
      </c>
      <c r="L44" s="85">
        <f t="shared" si="3"/>
        <v>0</v>
      </c>
      <c r="M44" s="8"/>
    </row>
    <row r="45" spans="1:13" s="7" customFormat="1" ht="15">
      <c r="A45" s="52" t="s">
        <v>236</v>
      </c>
      <c r="B45" s="53" t="s">
        <v>235</v>
      </c>
      <c r="C45" s="82">
        <v>8918558</v>
      </c>
      <c r="D45" s="82">
        <v>7767558</v>
      </c>
      <c r="E45" s="82">
        <f>F45-1506162.13</f>
        <v>131239.33000000007</v>
      </c>
      <c r="F45" s="82">
        <v>1637401.46</v>
      </c>
      <c r="G45" s="56">
        <f t="shared" si="0"/>
        <v>0.0032507193129363583</v>
      </c>
      <c r="H45" s="82">
        <f t="shared" si="2"/>
        <v>6130156.54</v>
      </c>
      <c r="I45" s="82">
        <f>J45-648976.46</f>
        <v>530137.3600000001</v>
      </c>
      <c r="J45" s="82">
        <v>1179113.82</v>
      </c>
      <c r="K45" s="56">
        <f t="shared" si="1"/>
        <v>0.0029262141071398325</v>
      </c>
      <c r="L45" s="85">
        <f t="shared" si="3"/>
        <v>6588444.18</v>
      </c>
      <c r="M45" s="8"/>
    </row>
    <row r="46" spans="1:13" s="7" customFormat="1" ht="15">
      <c r="A46" s="52" t="s">
        <v>164</v>
      </c>
      <c r="B46" s="53" t="s">
        <v>165</v>
      </c>
      <c r="C46" s="82">
        <v>5011382</v>
      </c>
      <c r="D46" s="82">
        <v>37121602.7</v>
      </c>
      <c r="E46" s="82">
        <f>F46-1310220.7</f>
        <v>26900000</v>
      </c>
      <c r="F46" s="82">
        <v>28210220.7</v>
      </c>
      <c r="G46" s="56">
        <f aca="true" t="shared" si="5" ref="G46:G77">(F46/$F$296)*100</f>
        <v>0.056005513303797244</v>
      </c>
      <c r="H46" s="82">
        <f t="shared" si="2"/>
        <v>8911382.000000004</v>
      </c>
      <c r="I46" s="82">
        <f>J46-49797.43</f>
        <v>3323212.9499999997</v>
      </c>
      <c r="J46" s="82">
        <v>3373010.38</v>
      </c>
      <c r="K46" s="56">
        <f aca="true" t="shared" si="6" ref="K46:K77">(J46/$J$296)*100</f>
        <v>0.008370820857213841</v>
      </c>
      <c r="L46" s="85">
        <f t="shared" si="3"/>
        <v>33748592.32</v>
      </c>
      <c r="M46" s="8"/>
    </row>
    <row r="47" spans="1:13" s="7" customFormat="1" ht="15">
      <c r="A47" s="52" t="s">
        <v>66</v>
      </c>
      <c r="B47" s="53" t="s">
        <v>74</v>
      </c>
      <c r="C47" s="82">
        <v>807000</v>
      </c>
      <c r="D47" s="82">
        <v>807000</v>
      </c>
      <c r="E47" s="82">
        <f>F47-0</f>
        <v>0</v>
      </c>
      <c r="F47" s="82">
        <v>0</v>
      </c>
      <c r="G47" s="56">
        <f t="shared" si="5"/>
        <v>0</v>
      </c>
      <c r="H47" s="82">
        <f t="shared" si="2"/>
        <v>807000</v>
      </c>
      <c r="I47" s="82">
        <f t="shared" si="4"/>
        <v>0</v>
      </c>
      <c r="J47" s="82">
        <v>0</v>
      </c>
      <c r="K47" s="56">
        <f t="shared" si="6"/>
        <v>0</v>
      </c>
      <c r="L47" s="85">
        <f t="shared" si="3"/>
        <v>807000</v>
      </c>
      <c r="M47" s="8"/>
    </row>
    <row r="48" spans="1:13" s="7" customFormat="1" ht="15">
      <c r="A48" s="52" t="s">
        <v>53</v>
      </c>
      <c r="B48" s="53" t="s">
        <v>60</v>
      </c>
      <c r="C48" s="82">
        <v>70070000</v>
      </c>
      <c r="D48" s="82">
        <v>114345741</v>
      </c>
      <c r="E48" s="82">
        <f>F48-8234020</f>
        <v>8048880</v>
      </c>
      <c r="F48" s="82">
        <v>16282900</v>
      </c>
      <c r="G48" s="56">
        <f t="shared" si="5"/>
        <v>0.03232630408220805</v>
      </c>
      <c r="H48" s="82">
        <f t="shared" si="2"/>
        <v>98062841</v>
      </c>
      <c r="I48" s="82">
        <f>J48-8234016</f>
        <v>2403450</v>
      </c>
      <c r="J48" s="82">
        <v>10637466</v>
      </c>
      <c r="K48" s="56">
        <f t="shared" si="6"/>
        <v>0.026399065590987918</v>
      </c>
      <c r="L48" s="85">
        <f t="shared" si="3"/>
        <v>103708275</v>
      </c>
      <c r="M48" s="8"/>
    </row>
    <row r="49" spans="1:13" s="7" customFormat="1" ht="15">
      <c r="A49" s="101" t="s">
        <v>135</v>
      </c>
      <c r="B49" s="53" t="s">
        <v>136</v>
      </c>
      <c r="C49" s="82">
        <v>0</v>
      </c>
      <c r="D49" s="82">
        <v>0</v>
      </c>
      <c r="E49" s="82">
        <f>F49-0</f>
        <v>0</v>
      </c>
      <c r="F49" s="82">
        <v>0</v>
      </c>
      <c r="G49" s="56">
        <f t="shared" si="5"/>
        <v>0</v>
      </c>
      <c r="H49" s="82">
        <f t="shared" si="2"/>
        <v>0</v>
      </c>
      <c r="I49" s="82">
        <f t="shared" si="4"/>
        <v>0</v>
      </c>
      <c r="J49" s="82">
        <v>0</v>
      </c>
      <c r="K49" s="56">
        <f t="shared" si="6"/>
        <v>0</v>
      </c>
      <c r="L49" s="85">
        <f aca="true" t="shared" si="7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2">
        <v>36511000</v>
      </c>
      <c r="D50" s="82">
        <v>36511000</v>
      </c>
      <c r="E50" s="82">
        <f>F50-0</f>
        <v>0</v>
      </c>
      <c r="F50" s="82">
        <v>0</v>
      </c>
      <c r="G50" s="56">
        <f t="shared" si="5"/>
        <v>0</v>
      </c>
      <c r="H50" s="82">
        <f t="shared" si="2"/>
        <v>36511000</v>
      </c>
      <c r="I50" s="82">
        <f t="shared" si="4"/>
        <v>0</v>
      </c>
      <c r="J50" s="82">
        <v>0</v>
      </c>
      <c r="K50" s="56">
        <f t="shared" si="6"/>
        <v>0</v>
      </c>
      <c r="L50" s="85">
        <f t="shared" si="7"/>
        <v>36511000</v>
      </c>
      <c r="M50" s="8"/>
    </row>
    <row r="51" spans="1:13" s="7" customFormat="1" ht="15">
      <c r="A51" s="52" t="s">
        <v>139</v>
      </c>
      <c r="B51" s="53" t="s">
        <v>140</v>
      </c>
      <c r="C51" s="82">
        <v>6300000</v>
      </c>
      <c r="D51" s="82">
        <v>6300000</v>
      </c>
      <c r="E51" s="82">
        <f>F51-0</f>
        <v>0</v>
      </c>
      <c r="F51" s="82">
        <v>0</v>
      </c>
      <c r="G51" s="56">
        <f t="shared" si="5"/>
        <v>0</v>
      </c>
      <c r="H51" s="82">
        <f t="shared" si="2"/>
        <v>6300000</v>
      </c>
      <c r="I51" s="82">
        <f t="shared" si="4"/>
        <v>0</v>
      </c>
      <c r="J51" s="82">
        <v>0</v>
      </c>
      <c r="K51" s="56">
        <f t="shared" si="6"/>
        <v>0</v>
      </c>
      <c r="L51" s="85">
        <f t="shared" si="7"/>
        <v>6300000</v>
      </c>
      <c r="M51" s="8"/>
    </row>
    <row r="52" spans="1:13" s="7" customFormat="1" ht="15">
      <c r="A52" s="52" t="s">
        <v>143</v>
      </c>
      <c r="B52" s="53" t="s">
        <v>144</v>
      </c>
      <c r="C52" s="82">
        <v>55016831</v>
      </c>
      <c r="D52" s="82">
        <v>33016831</v>
      </c>
      <c r="E52" s="82">
        <f>F52-1625588.71</f>
        <v>0</v>
      </c>
      <c r="F52" s="82">
        <v>1625588.71</v>
      </c>
      <c r="G52" s="56">
        <f t="shared" si="5"/>
        <v>0.003227267559959486</v>
      </c>
      <c r="H52" s="82">
        <f t="shared" si="2"/>
        <v>31391242.29</v>
      </c>
      <c r="I52" s="82">
        <f t="shared" si="4"/>
        <v>0</v>
      </c>
      <c r="J52" s="82">
        <v>0</v>
      </c>
      <c r="K52" s="56">
        <f t="shared" si="6"/>
        <v>0</v>
      </c>
      <c r="L52" s="85">
        <f t="shared" si="7"/>
        <v>33016831</v>
      </c>
      <c r="M52" s="8"/>
    </row>
    <row r="53" spans="1:13" s="7" customFormat="1" ht="15">
      <c r="A53" s="52" t="s">
        <v>96</v>
      </c>
      <c r="B53" s="53" t="s">
        <v>102</v>
      </c>
      <c r="C53" s="82">
        <v>5000</v>
      </c>
      <c r="D53" s="82">
        <v>255989300.79</v>
      </c>
      <c r="E53" s="82">
        <f>F53-78424746.76</f>
        <v>82359574.45</v>
      </c>
      <c r="F53" s="82">
        <v>160784321.21</v>
      </c>
      <c r="G53" s="56">
        <f t="shared" si="5"/>
        <v>0.319203757259817</v>
      </c>
      <c r="H53" s="82">
        <f t="shared" si="2"/>
        <v>95204979.57999998</v>
      </c>
      <c r="I53" s="82">
        <f>J53-78203845.91</f>
        <v>82369567.49000001</v>
      </c>
      <c r="J53" s="82">
        <v>160573413.4</v>
      </c>
      <c r="K53" s="56">
        <f t="shared" si="6"/>
        <v>0.3984960396127629</v>
      </c>
      <c r="L53" s="85">
        <f t="shared" si="7"/>
        <v>95415887.38999999</v>
      </c>
      <c r="M53" s="8"/>
    </row>
    <row r="54" spans="1:13" s="7" customFormat="1" ht="15">
      <c r="A54" s="52" t="s">
        <v>97</v>
      </c>
      <c r="B54" s="53" t="s">
        <v>237</v>
      </c>
      <c r="C54" s="82">
        <v>17326316</v>
      </c>
      <c r="D54" s="82">
        <v>17326316</v>
      </c>
      <c r="E54" s="82">
        <f>F54-0</f>
        <v>0</v>
      </c>
      <c r="F54" s="82">
        <v>0</v>
      </c>
      <c r="G54" s="56">
        <f t="shared" si="5"/>
        <v>0</v>
      </c>
      <c r="H54" s="82">
        <f t="shared" si="2"/>
        <v>17326316</v>
      </c>
      <c r="I54" s="82">
        <f t="shared" si="4"/>
        <v>0</v>
      </c>
      <c r="J54" s="82">
        <v>0</v>
      </c>
      <c r="K54" s="56">
        <f t="shared" si="6"/>
        <v>0</v>
      </c>
      <c r="L54" s="85">
        <f t="shared" si="7"/>
        <v>17326316</v>
      </c>
      <c r="M54" s="8"/>
    </row>
    <row r="55" spans="1:13" s="7" customFormat="1" ht="15">
      <c r="A55" s="52" t="s">
        <v>180</v>
      </c>
      <c r="B55" s="53" t="s">
        <v>181</v>
      </c>
      <c r="C55" s="82">
        <v>0</v>
      </c>
      <c r="D55" s="82">
        <v>0</v>
      </c>
      <c r="E55" s="82">
        <f>F55-0</f>
        <v>0</v>
      </c>
      <c r="F55" s="82">
        <v>0</v>
      </c>
      <c r="G55" s="56">
        <f t="shared" si="5"/>
        <v>0</v>
      </c>
      <c r="H55" s="82">
        <f t="shared" si="2"/>
        <v>0</v>
      </c>
      <c r="I55" s="82">
        <v>0</v>
      </c>
      <c r="J55" s="82">
        <v>0</v>
      </c>
      <c r="K55" s="56">
        <f t="shared" si="6"/>
        <v>0</v>
      </c>
      <c r="L55" s="85">
        <f t="shared" si="7"/>
        <v>0</v>
      </c>
      <c r="M55" s="8"/>
    </row>
    <row r="56" spans="1:13" s="7" customFormat="1" ht="15">
      <c r="A56" s="52" t="s">
        <v>54</v>
      </c>
      <c r="B56" s="53" t="s">
        <v>61</v>
      </c>
      <c r="C56" s="82">
        <v>1300530430</v>
      </c>
      <c r="D56" s="82">
        <v>1935771007.8</v>
      </c>
      <c r="E56" s="82">
        <f>F56-465854184.58</f>
        <v>291343412.33</v>
      </c>
      <c r="F56" s="82">
        <v>757197596.91</v>
      </c>
      <c r="G56" s="56">
        <f t="shared" si="5"/>
        <v>1.5032580049026807</v>
      </c>
      <c r="H56" s="82">
        <f t="shared" si="2"/>
        <v>1178573410.8899999</v>
      </c>
      <c r="I56" s="82">
        <f>J56-465854184.58</f>
        <v>291343412.33</v>
      </c>
      <c r="J56" s="82">
        <v>757197596.91</v>
      </c>
      <c r="K56" s="56">
        <f t="shared" si="6"/>
        <v>1.8791419898465969</v>
      </c>
      <c r="L56" s="85">
        <f t="shared" si="7"/>
        <v>1178573410.8899999</v>
      </c>
      <c r="M56" s="8"/>
    </row>
    <row r="57" spans="1:13" s="7" customFormat="1" ht="15">
      <c r="A57" s="52" t="s">
        <v>185</v>
      </c>
      <c r="B57" s="53" t="s">
        <v>186</v>
      </c>
      <c r="C57" s="82">
        <v>0</v>
      </c>
      <c r="D57" s="82">
        <v>0</v>
      </c>
      <c r="E57" s="82">
        <f>F57-0</f>
        <v>0</v>
      </c>
      <c r="F57" s="82">
        <v>0</v>
      </c>
      <c r="G57" s="56">
        <f t="shared" si="5"/>
        <v>0</v>
      </c>
      <c r="H57" s="82">
        <f t="shared" si="2"/>
        <v>0</v>
      </c>
      <c r="I57" s="82">
        <f t="shared" si="4"/>
        <v>0</v>
      </c>
      <c r="J57" s="82">
        <v>0</v>
      </c>
      <c r="K57" s="56">
        <f t="shared" si="6"/>
        <v>0</v>
      </c>
      <c r="L57" s="85">
        <f t="shared" si="3"/>
        <v>0</v>
      </c>
      <c r="M57" s="8"/>
    </row>
    <row r="58" spans="1:13" s="7" customFormat="1" ht="15">
      <c r="A58" s="52" t="s">
        <v>209</v>
      </c>
      <c r="B58" s="53" t="s">
        <v>210</v>
      </c>
      <c r="C58" s="82">
        <v>0</v>
      </c>
      <c r="D58" s="82">
        <v>0</v>
      </c>
      <c r="E58" s="82">
        <f>F58-0</f>
        <v>0</v>
      </c>
      <c r="F58" s="82">
        <v>0</v>
      </c>
      <c r="G58" s="56">
        <f t="shared" si="5"/>
        <v>0</v>
      </c>
      <c r="H58" s="82">
        <f>D58-F58</f>
        <v>0</v>
      </c>
      <c r="I58" s="82">
        <f t="shared" si="4"/>
        <v>0</v>
      </c>
      <c r="J58" s="82">
        <v>0</v>
      </c>
      <c r="K58" s="56">
        <f t="shared" si="6"/>
        <v>0</v>
      </c>
      <c r="L58" s="85">
        <f>D58-J58</f>
        <v>0</v>
      </c>
      <c r="M58" s="8"/>
    </row>
    <row r="59" spans="1:13" s="7" customFormat="1" ht="15">
      <c r="A59" s="103" t="s">
        <v>63</v>
      </c>
      <c r="B59" s="104" t="s">
        <v>62</v>
      </c>
      <c r="C59" s="81">
        <f>SUM(C60:C82)</f>
        <v>12513246588</v>
      </c>
      <c r="D59" s="81">
        <f>SUM(D60:D82)</f>
        <v>14672696751.589998</v>
      </c>
      <c r="E59" s="81">
        <f>SUM(E60:E82)</f>
        <v>2554991372.129999</v>
      </c>
      <c r="F59" s="81">
        <f>SUM(F60:F82)</f>
        <v>6944345106.819999</v>
      </c>
      <c r="G59" s="51">
        <f t="shared" si="5"/>
        <v>13.786549789954913</v>
      </c>
      <c r="H59" s="81">
        <f t="shared" si="2"/>
        <v>7728351644.7699995</v>
      </c>
      <c r="I59" s="81">
        <f>SUM(I60:I82)</f>
        <v>2442139026.09</v>
      </c>
      <c r="J59" s="81">
        <f>SUM(J60:J82)</f>
        <v>6390123385.54</v>
      </c>
      <c r="K59" s="51">
        <f t="shared" si="6"/>
        <v>15.858408984750339</v>
      </c>
      <c r="L59" s="84">
        <f t="shared" si="3"/>
        <v>8282573366.049998</v>
      </c>
      <c r="M59" s="8"/>
    </row>
    <row r="60" spans="1:13" s="7" customFormat="1" ht="15">
      <c r="A60" s="52" t="s">
        <v>38</v>
      </c>
      <c r="B60" s="53" t="s">
        <v>284</v>
      </c>
      <c r="C60" s="82">
        <v>5000000</v>
      </c>
      <c r="D60" s="82">
        <v>5000000</v>
      </c>
      <c r="E60" s="82">
        <f>F60-0</f>
        <v>0</v>
      </c>
      <c r="F60" s="82">
        <v>0</v>
      </c>
      <c r="G60" s="56">
        <f t="shared" si="5"/>
        <v>0</v>
      </c>
      <c r="H60" s="82">
        <f t="shared" si="2"/>
        <v>5000000</v>
      </c>
      <c r="I60" s="82">
        <f>J60-0</f>
        <v>0</v>
      </c>
      <c r="J60" s="82">
        <v>0</v>
      </c>
      <c r="K60" s="56">
        <f t="shared" si="6"/>
        <v>0</v>
      </c>
      <c r="L60" s="85">
        <f t="shared" si="3"/>
        <v>5000000</v>
      </c>
      <c r="M60" s="8"/>
    </row>
    <row r="61" spans="1:13" s="7" customFormat="1" ht="15">
      <c r="A61" s="52" t="s">
        <v>28</v>
      </c>
      <c r="B61" s="53" t="s">
        <v>33</v>
      </c>
      <c r="C61" s="82">
        <v>10828383683</v>
      </c>
      <c r="D61" s="82">
        <v>12184287844.85</v>
      </c>
      <c r="E61" s="82">
        <f>F61-3887302197.61</f>
        <v>2236569634.0499997</v>
      </c>
      <c r="F61" s="82">
        <v>6123871831.66</v>
      </c>
      <c r="G61" s="56">
        <f t="shared" si="5"/>
        <v>12.157671114525641</v>
      </c>
      <c r="H61" s="82">
        <f>D61-F61</f>
        <v>6060416013.190001</v>
      </c>
      <c r="I61" s="82">
        <f>J61-3738548014.42</f>
        <v>2233749159.1800003</v>
      </c>
      <c r="J61" s="82">
        <v>5972297173.6</v>
      </c>
      <c r="K61" s="56">
        <f t="shared" si="6"/>
        <v>14.821487073588596</v>
      </c>
      <c r="L61" s="85">
        <f>D61-J61</f>
        <v>6211990671.25</v>
      </c>
      <c r="M61" s="8"/>
    </row>
    <row r="62" spans="1:13" s="7" customFormat="1" ht="15">
      <c r="A62" s="52" t="s">
        <v>49</v>
      </c>
      <c r="B62" s="53" t="s">
        <v>56</v>
      </c>
      <c r="C62" s="82">
        <v>202256273</v>
      </c>
      <c r="D62" s="82">
        <v>218936773</v>
      </c>
      <c r="E62" s="82">
        <f>F62-52582358.89</f>
        <v>29606922.989999995</v>
      </c>
      <c r="F62" s="82">
        <v>82189281.88</v>
      </c>
      <c r="G62" s="56">
        <f t="shared" si="5"/>
        <v>0.16316968834490123</v>
      </c>
      <c r="H62" s="82">
        <f t="shared" si="2"/>
        <v>136747491.12</v>
      </c>
      <c r="I62" s="82">
        <f>J62-31329815.17</f>
        <v>32320749.629999995</v>
      </c>
      <c r="J62" s="82">
        <v>63650564.8</v>
      </c>
      <c r="K62" s="56">
        <f t="shared" si="6"/>
        <v>0.1579620028922891</v>
      </c>
      <c r="L62" s="85">
        <f t="shared" si="3"/>
        <v>155286208.2</v>
      </c>
      <c r="M62" s="8"/>
    </row>
    <row r="63" spans="1:13" s="7" customFormat="1" ht="15">
      <c r="A63" s="101" t="s">
        <v>50</v>
      </c>
      <c r="B63" s="102" t="s">
        <v>57</v>
      </c>
      <c r="C63" s="82">
        <v>147074319</v>
      </c>
      <c r="D63" s="82">
        <v>147109319</v>
      </c>
      <c r="E63" s="82">
        <f>F63-20453117.87</f>
        <v>23664855.609999996</v>
      </c>
      <c r="F63" s="82">
        <v>44117973.48</v>
      </c>
      <c r="G63" s="56">
        <f t="shared" si="5"/>
        <v>0.08758704077315899</v>
      </c>
      <c r="H63" s="82">
        <f>D63-F63</f>
        <v>102991345.52000001</v>
      </c>
      <c r="I63" s="82">
        <f>J63-5463776.4</f>
        <v>7701524.08</v>
      </c>
      <c r="J63" s="82">
        <v>13165300.48</v>
      </c>
      <c r="K63" s="56">
        <f t="shared" si="6"/>
        <v>0.03267240815590713</v>
      </c>
      <c r="L63" s="85">
        <f t="shared" si="3"/>
        <v>133944018.52</v>
      </c>
      <c r="M63" s="8"/>
    </row>
    <row r="64" spans="1:13" s="7" customFormat="1" ht="15">
      <c r="A64" s="52" t="s">
        <v>29</v>
      </c>
      <c r="B64" s="53" t="s">
        <v>34</v>
      </c>
      <c r="C64" s="82">
        <v>3974660</v>
      </c>
      <c r="D64" s="82">
        <v>16936786.01</v>
      </c>
      <c r="E64" s="82">
        <f>F64-3722463.43</f>
        <v>884696.9999999995</v>
      </c>
      <c r="F64" s="82">
        <v>4607160.43</v>
      </c>
      <c r="G64" s="56">
        <f t="shared" si="5"/>
        <v>0.009146556756824423</v>
      </c>
      <c r="H64" s="82">
        <f t="shared" si="2"/>
        <v>12329625.580000002</v>
      </c>
      <c r="I64" s="82">
        <f>J64-1751099.65</f>
        <v>945203.1499999999</v>
      </c>
      <c r="J64" s="82">
        <v>2696302.8</v>
      </c>
      <c r="K64" s="56">
        <f t="shared" si="6"/>
        <v>0.006691431443387399</v>
      </c>
      <c r="L64" s="85">
        <f t="shared" si="3"/>
        <v>14240483.21</v>
      </c>
      <c r="M64" s="8"/>
    </row>
    <row r="65" spans="1:13" s="7" customFormat="1" ht="15">
      <c r="A65" s="52" t="s">
        <v>64</v>
      </c>
      <c r="B65" s="53" t="s">
        <v>72</v>
      </c>
      <c r="C65" s="82">
        <v>567023526</v>
      </c>
      <c r="D65" s="82">
        <v>865182158.75</v>
      </c>
      <c r="E65" s="82">
        <f>F65-217165375.25</f>
        <v>101890542.17000002</v>
      </c>
      <c r="F65" s="82">
        <v>319055917.42</v>
      </c>
      <c r="G65" s="56">
        <f t="shared" si="5"/>
        <v>0.6334190227629466</v>
      </c>
      <c r="H65" s="82">
        <f t="shared" si="2"/>
        <v>546126241.3299999</v>
      </c>
      <c r="I65" s="82">
        <f>J65-56514225.47</f>
        <v>64846673.28</v>
      </c>
      <c r="J65" s="82">
        <v>121360898.75</v>
      </c>
      <c r="K65" s="56">
        <f t="shared" si="6"/>
        <v>0.3011820979058823</v>
      </c>
      <c r="L65" s="85">
        <f t="shared" si="3"/>
        <v>743821260</v>
      </c>
      <c r="M65" s="8"/>
    </row>
    <row r="66" spans="1:13" s="7" customFormat="1" ht="15">
      <c r="A66" s="52" t="s">
        <v>65</v>
      </c>
      <c r="B66" s="53" t="s">
        <v>73</v>
      </c>
      <c r="C66" s="82">
        <v>110856678</v>
      </c>
      <c r="D66" s="82">
        <v>197937583.21</v>
      </c>
      <c r="E66" s="82">
        <f>F66-26535387.21</f>
        <v>70226053.99000001</v>
      </c>
      <c r="F66" s="82">
        <v>96761441.2</v>
      </c>
      <c r="G66" s="56">
        <f t="shared" si="5"/>
        <v>0.19209967337905992</v>
      </c>
      <c r="H66" s="82">
        <f t="shared" si="2"/>
        <v>101176142.01</v>
      </c>
      <c r="I66" s="82">
        <f>J66-20185650.92</f>
        <v>15209567.79</v>
      </c>
      <c r="J66" s="82">
        <v>35395218.71</v>
      </c>
      <c r="K66" s="56">
        <f t="shared" si="6"/>
        <v>0.08784053460971371</v>
      </c>
      <c r="L66" s="85">
        <f t="shared" si="3"/>
        <v>162542364.5</v>
      </c>
      <c r="M66" s="8"/>
    </row>
    <row r="67" spans="1:13" s="7" customFormat="1" ht="15">
      <c r="A67" s="52" t="s">
        <v>66</v>
      </c>
      <c r="B67" s="53" t="s">
        <v>74</v>
      </c>
      <c r="C67" s="82">
        <v>6435348</v>
      </c>
      <c r="D67" s="82">
        <v>9077629.27</v>
      </c>
      <c r="E67" s="82">
        <f>F67-1422202.53</f>
        <v>2741614.6399999997</v>
      </c>
      <c r="F67" s="82">
        <v>4163817.17</v>
      </c>
      <c r="G67" s="56">
        <f t="shared" si="5"/>
        <v>0.00826639112075484</v>
      </c>
      <c r="H67" s="82">
        <f t="shared" si="2"/>
        <v>4913812.1</v>
      </c>
      <c r="I67" s="82">
        <f>J67-470409.62</f>
        <v>687835.0099999999</v>
      </c>
      <c r="J67" s="82">
        <v>1158244.63</v>
      </c>
      <c r="K67" s="56">
        <f t="shared" si="6"/>
        <v>0.0028744229084050215</v>
      </c>
      <c r="L67" s="85">
        <f t="shared" si="3"/>
        <v>7919384.64</v>
      </c>
      <c r="M67" s="8"/>
    </row>
    <row r="68" spans="1:13" s="7" customFormat="1" ht="15">
      <c r="A68" s="52" t="s">
        <v>131</v>
      </c>
      <c r="B68" s="53" t="s">
        <v>132</v>
      </c>
      <c r="C68" s="82">
        <v>600000</v>
      </c>
      <c r="D68" s="82">
        <v>600000</v>
      </c>
      <c r="E68" s="82">
        <f>F68-0</f>
        <v>0</v>
      </c>
      <c r="F68" s="82">
        <v>0</v>
      </c>
      <c r="G68" s="56">
        <f t="shared" si="5"/>
        <v>0</v>
      </c>
      <c r="H68" s="82">
        <f t="shared" si="2"/>
        <v>600000</v>
      </c>
      <c r="I68" s="82">
        <f>J68-0</f>
        <v>0</v>
      </c>
      <c r="J68" s="82">
        <v>0</v>
      </c>
      <c r="K68" s="56">
        <f t="shared" si="6"/>
        <v>0</v>
      </c>
      <c r="L68" s="85">
        <f t="shared" si="3"/>
        <v>600000</v>
      </c>
      <c r="M68" s="8"/>
    </row>
    <row r="69" spans="1:13" s="7" customFormat="1" ht="15">
      <c r="A69" s="52" t="s">
        <v>82</v>
      </c>
      <c r="B69" s="53" t="s">
        <v>84</v>
      </c>
      <c r="C69" s="82">
        <v>1400000</v>
      </c>
      <c r="D69" s="82">
        <v>1400000</v>
      </c>
      <c r="E69" s="82">
        <f>F69-0</f>
        <v>0</v>
      </c>
      <c r="F69" s="82">
        <v>0</v>
      </c>
      <c r="G69" s="56">
        <f t="shared" si="5"/>
        <v>0</v>
      </c>
      <c r="H69" s="82">
        <f t="shared" si="2"/>
        <v>1400000</v>
      </c>
      <c r="I69" s="82">
        <f>J69-0</f>
        <v>0</v>
      </c>
      <c r="J69" s="82">
        <v>0</v>
      </c>
      <c r="K69" s="56">
        <f t="shared" si="6"/>
        <v>0</v>
      </c>
      <c r="L69" s="85">
        <f t="shared" si="3"/>
        <v>1400000</v>
      </c>
      <c r="M69" s="8"/>
    </row>
    <row r="70" spans="1:13" s="7" customFormat="1" ht="15">
      <c r="A70" s="52" t="s">
        <v>83</v>
      </c>
      <c r="B70" s="53" t="s">
        <v>85</v>
      </c>
      <c r="C70" s="82">
        <v>12136528</v>
      </c>
      <c r="D70" s="82">
        <v>57150543.08</v>
      </c>
      <c r="E70" s="82">
        <f>F70-20674217.29</f>
        <v>5681515.359999999</v>
      </c>
      <c r="F70" s="82">
        <v>26355732.65</v>
      </c>
      <c r="G70" s="56">
        <f t="shared" si="5"/>
        <v>0.05232381381407974</v>
      </c>
      <c r="H70" s="82">
        <f t="shared" si="2"/>
        <v>30794810.43</v>
      </c>
      <c r="I70" s="82">
        <f>J70-11864035.68</f>
        <v>11041332.16</v>
      </c>
      <c r="J70" s="82">
        <v>22905367.84</v>
      </c>
      <c r="K70" s="56">
        <f t="shared" si="6"/>
        <v>0.0568443939556531</v>
      </c>
      <c r="L70" s="85">
        <f t="shared" si="3"/>
        <v>34245175.239999995</v>
      </c>
      <c r="M70" s="8"/>
    </row>
    <row r="71" spans="1:13" s="7" customFormat="1" ht="15">
      <c r="A71" s="52" t="s">
        <v>92</v>
      </c>
      <c r="B71" s="53" t="s">
        <v>98</v>
      </c>
      <c r="C71" s="82">
        <v>1000000</v>
      </c>
      <c r="D71" s="82">
        <v>1000000</v>
      </c>
      <c r="E71" s="82">
        <f>F71-0</f>
        <v>0</v>
      </c>
      <c r="F71" s="82">
        <v>0</v>
      </c>
      <c r="G71" s="56">
        <f t="shared" si="5"/>
        <v>0</v>
      </c>
      <c r="H71" s="82">
        <f t="shared" si="2"/>
        <v>1000000</v>
      </c>
      <c r="I71" s="82">
        <f>J71-0</f>
        <v>0</v>
      </c>
      <c r="J71" s="82">
        <v>0</v>
      </c>
      <c r="K71" s="56">
        <f t="shared" si="6"/>
        <v>0</v>
      </c>
      <c r="L71" s="85">
        <f t="shared" si="3"/>
        <v>1000000</v>
      </c>
      <c r="M71" s="8"/>
    </row>
    <row r="72" spans="1:13" s="7" customFormat="1" ht="15">
      <c r="A72" s="52" t="s">
        <v>67</v>
      </c>
      <c r="B72" s="53" t="s">
        <v>75</v>
      </c>
      <c r="C72" s="82">
        <v>163321559</v>
      </c>
      <c r="D72" s="82">
        <v>474205491.3</v>
      </c>
      <c r="E72" s="82">
        <f>F72-44416421.78</f>
        <v>20352515.409999996</v>
      </c>
      <c r="F72" s="82">
        <v>64768937.19</v>
      </c>
      <c r="G72" s="56">
        <f t="shared" si="5"/>
        <v>0.12858522490989774</v>
      </c>
      <c r="H72" s="82">
        <f t="shared" si="2"/>
        <v>409436554.11</v>
      </c>
      <c r="I72" s="82">
        <f>J72-8942513.25</f>
        <v>13202371.739999998</v>
      </c>
      <c r="J72" s="82">
        <v>22144884.99</v>
      </c>
      <c r="K72" s="56">
        <f t="shared" si="6"/>
        <v>0.05495709893276217</v>
      </c>
      <c r="L72" s="85">
        <f t="shared" si="3"/>
        <v>452060606.31</v>
      </c>
      <c r="M72" s="8"/>
    </row>
    <row r="73" spans="1:13" s="7" customFormat="1" ht="15">
      <c r="A73" s="52" t="s">
        <v>68</v>
      </c>
      <c r="B73" s="53" t="s">
        <v>76</v>
      </c>
      <c r="C73" s="82">
        <v>250000000</v>
      </c>
      <c r="D73" s="82">
        <v>263825585.14</v>
      </c>
      <c r="E73" s="82">
        <f>F73-72367448.36</f>
        <v>20088694.060000002</v>
      </c>
      <c r="F73" s="82">
        <v>92456142.42</v>
      </c>
      <c r="G73" s="56">
        <f t="shared" si="5"/>
        <v>0.1835524000108614</v>
      </c>
      <c r="H73" s="82">
        <f t="shared" si="2"/>
        <v>171369442.71999997</v>
      </c>
      <c r="I73" s="82">
        <f>J73-46212168.81</f>
        <v>31729340.200000003</v>
      </c>
      <c r="J73" s="82">
        <v>77941509.01</v>
      </c>
      <c r="K73" s="56">
        <f t="shared" si="6"/>
        <v>0.19342792810012893</v>
      </c>
      <c r="L73" s="85">
        <f t="shared" si="3"/>
        <v>185884076.13</v>
      </c>
      <c r="M73" s="8"/>
    </row>
    <row r="74" spans="1:13" s="7" customFormat="1" ht="15">
      <c r="A74" s="52" t="s">
        <v>238</v>
      </c>
      <c r="B74" s="53" t="s">
        <v>239</v>
      </c>
      <c r="C74" s="82">
        <v>0</v>
      </c>
      <c r="D74" s="82">
        <v>0</v>
      </c>
      <c r="E74" s="82">
        <f>F74-0</f>
        <v>0</v>
      </c>
      <c r="F74" s="82">
        <v>0</v>
      </c>
      <c r="G74" s="56">
        <f t="shared" si="5"/>
        <v>0</v>
      </c>
      <c r="H74" s="82">
        <f>D74-F74</f>
        <v>0</v>
      </c>
      <c r="I74" s="82">
        <f>J74-0</f>
        <v>0</v>
      </c>
      <c r="J74" s="82">
        <v>0</v>
      </c>
      <c r="K74" s="56">
        <f t="shared" si="6"/>
        <v>0</v>
      </c>
      <c r="L74" s="85">
        <f t="shared" si="3"/>
        <v>0</v>
      </c>
      <c r="M74" s="8"/>
    </row>
    <row r="75" spans="1:13" s="7" customFormat="1" ht="15">
      <c r="A75" s="52" t="s">
        <v>106</v>
      </c>
      <c r="B75" s="53" t="s">
        <v>108</v>
      </c>
      <c r="C75" s="82">
        <v>0</v>
      </c>
      <c r="D75" s="82">
        <v>0</v>
      </c>
      <c r="E75" s="82">
        <f>F75-0</f>
        <v>0</v>
      </c>
      <c r="F75" s="82">
        <v>0</v>
      </c>
      <c r="G75" s="56">
        <f t="shared" si="5"/>
        <v>0</v>
      </c>
      <c r="H75" s="82">
        <f>D75-F75</f>
        <v>0</v>
      </c>
      <c r="I75" s="82">
        <f>J75-0</f>
        <v>0</v>
      </c>
      <c r="J75" s="82">
        <v>0</v>
      </c>
      <c r="K75" s="56">
        <f t="shared" si="6"/>
        <v>0</v>
      </c>
      <c r="L75" s="85">
        <f t="shared" si="3"/>
        <v>0</v>
      </c>
      <c r="M75" s="8"/>
    </row>
    <row r="76" spans="1:13" s="7" customFormat="1" ht="15">
      <c r="A76" s="52" t="s">
        <v>115</v>
      </c>
      <c r="B76" s="53" t="s">
        <v>122</v>
      </c>
      <c r="C76" s="82">
        <v>0</v>
      </c>
      <c r="D76" s="82">
        <v>0</v>
      </c>
      <c r="E76" s="82">
        <f>F76-0</f>
        <v>0</v>
      </c>
      <c r="F76" s="82">
        <v>0</v>
      </c>
      <c r="G76" s="56">
        <f t="shared" si="5"/>
        <v>0</v>
      </c>
      <c r="H76" s="82">
        <f>D76-F76</f>
        <v>0</v>
      </c>
      <c r="I76" s="82">
        <f>J76-0</f>
        <v>0</v>
      </c>
      <c r="J76" s="82">
        <v>0</v>
      </c>
      <c r="K76" s="56">
        <f t="shared" si="6"/>
        <v>0</v>
      </c>
      <c r="L76" s="85">
        <f t="shared" si="3"/>
        <v>0</v>
      </c>
      <c r="M76" s="8"/>
    </row>
    <row r="77" spans="1:13" s="7" customFormat="1" ht="15">
      <c r="A77" s="52" t="s">
        <v>69</v>
      </c>
      <c r="B77" s="53" t="s">
        <v>77</v>
      </c>
      <c r="C77" s="82">
        <v>39081295</v>
      </c>
      <c r="D77" s="82">
        <v>48962773.52</v>
      </c>
      <c r="E77" s="82">
        <f>F77-9298334.19</f>
        <v>12999837.459999999</v>
      </c>
      <c r="F77" s="82">
        <v>22298171.65</v>
      </c>
      <c r="G77" s="56">
        <f t="shared" si="5"/>
        <v>0.04426837217173665</v>
      </c>
      <c r="H77" s="82">
        <f t="shared" si="2"/>
        <v>26664601.870000005</v>
      </c>
      <c r="I77" s="82">
        <f>J77-7782904.92</f>
        <v>9073875.770000001</v>
      </c>
      <c r="J77" s="82">
        <v>16856780.69</v>
      </c>
      <c r="K77" s="56">
        <f t="shared" si="6"/>
        <v>0.04183357757272349</v>
      </c>
      <c r="L77" s="85">
        <f t="shared" si="3"/>
        <v>32105992.830000002</v>
      </c>
      <c r="M77" s="8"/>
    </row>
    <row r="78" spans="1:13" s="7" customFormat="1" ht="15">
      <c r="A78" s="52" t="s">
        <v>53</v>
      </c>
      <c r="B78" s="53" t="s">
        <v>60</v>
      </c>
      <c r="C78" s="82">
        <v>102559939</v>
      </c>
      <c r="D78" s="82">
        <v>102559939</v>
      </c>
      <c r="E78" s="82">
        <f>F78-31826769.75</f>
        <v>29501590.68</v>
      </c>
      <c r="F78" s="82">
        <v>61328360.43</v>
      </c>
      <c r="G78" s="56">
        <f>(F78/$F$296)*100</f>
        <v>0.12175467687718008</v>
      </c>
      <c r="H78" s="82">
        <f t="shared" si="2"/>
        <v>41231578.57</v>
      </c>
      <c r="I78" s="82">
        <f>J78-18335475.38</f>
        <v>20776842.169999998</v>
      </c>
      <c r="J78" s="82">
        <v>39112317.55</v>
      </c>
      <c r="K78" s="56">
        <f>(J78/$J$296)*100</f>
        <v>0.09706528194007838</v>
      </c>
      <c r="L78" s="85">
        <f t="shared" si="3"/>
        <v>63447621.45</v>
      </c>
      <c r="M78" s="8"/>
    </row>
    <row r="79" spans="1:13" s="7" customFormat="1" ht="15">
      <c r="A79" s="52" t="s">
        <v>70</v>
      </c>
      <c r="B79" s="53" t="s">
        <v>78</v>
      </c>
      <c r="C79" s="82">
        <v>13482000</v>
      </c>
      <c r="D79" s="82">
        <v>36549045.46</v>
      </c>
      <c r="E79" s="82">
        <f>F79-1504040.61</f>
        <v>739992.7099999997</v>
      </c>
      <c r="F79" s="82">
        <v>2244033.32</v>
      </c>
      <c r="G79" s="56">
        <f>(F79/$F$296)*100</f>
        <v>0.004455060429832946</v>
      </c>
      <c r="H79" s="82">
        <f t="shared" si="2"/>
        <v>34305012.14</v>
      </c>
      <c r="I79" s="82">
        <f>J79-513171.56</f>
        <v>849336.94</v>
      </c>
      <c r="J79" s="82">
        <v>1362508.5</v>
      </c>
      <c r="K79" s="56">
        <f>(J79/$J$296)*100</f>
        <v>0.0033813458261374055</v>
      </c>
      <c r="L79" s="85">
        <f t="shared" si="3"/>
        <v>35186536.96</v>
      </c>
      <c r="M79" s="8"/>
    </row>
    <row r="80" spans="1:13" s="7" customFormat="1" ht="15">
      <c r="A80" s="52" t="s">
        <v>71</v>
      </c>
      <c r="B80" s="53" t="s">
        <v>79</v>
      </c>
      <c r="C80" s="82">
        <v>57155780</v>
      </c>
      <c r="D80" s="82">
        <v>40475280</v>
      </c>
      <c r="E80" s="82">
        <f>F80-83399.92</f>
        <v>42906</v>
      </c>
      <c r="F80" s="82">
        <v>126305.92</v>
      </c>
      <c r="G80" s="56">
        <f>(F80/$F$296)*100</f>
        <v>0.0002507540780391112</v>
      </c>
      <c r="H80" s="82">
        <f t="shared" si="2"/>
        <v>40348974.08</v>
      </c>
      <c r="I80" s="82">
        <f>J80-71098.2</f>
        <v>5214.990000000005</v>
      </c>
      <c r="J80" s="82">
        <v>76313.19</v>
      </c>
      <c r="K80" s="56">
        <f>(J80/$J$296)*100</f>
        <v>0.00018938691867664004</v>
      </c>
      <c r="L80" s="85">
        <f t="shared" si="3"/>
        <v>40398966.81</v>
      </c>
      <c r="M80" s="8"/>
    </row>
    <row r="81" spans="1:13" s="7" customFormat="1" ht="15">
      <c r="A81" s="52" t="s">
        <v>199</v>
      </c>
      <c r="B81" s="53" t="s">
        <v>200</v>
      </c>
      <c r="C81" s="82">
        <v>5000</v>
      </c>
      <c r="D81" s="82">
        <v>0</v>
      </c>
      <c r="E81" s="82">
        <f>F81-0</f>
        <v>0</v>
      </c>
      <c r="F81" s="82">
        <v>0</v>
      </c>
      <c r="G81" s="56">
        <f>(F81/$F$296)*100</f>
        <v>0</v>
      </c>
      <c r="H81" s="82">
        <f t="shared" si="2"/>
        <v>0</v>
      </c>
      <c r="I81" s="82">
        <f>J81-0</f>
        <v>0</v>
      </c>
      <c r="J81" s="82">
        <v>0</v>
      </c>
      <c r="K81" s="56">
        <f>(J81/$J$296)*100</f>
        <v>0</v>
      </c>
      <c r="L81" s="85">
        <f t="shared" si="3"/>
        <v>0</v>
      </c>
      <c r="M81" s="8"/>
    </row>
    <row r="82" spans="1:13" s="7" customFormat="1" ht="15">
      <c r="A82" s="52" t="s">
        <v>207</v>
      </c>
      <c r="B82" s="53" t="s">
        <v>208</v>
      </c>
      <c r="C82" s="82">
        <v>1500000</v>
      </c>
      <c r="D82" s="82">
        <v>1500000</v>
      </c>
      <c r="E82" s="82">
        <f>F82-0</f>
        <v>0</v>
      </c>
      <c r="F82" s="82">
        <v>0</v>
      </c>
      <c r="G82" s="56">
        <f>(F82/$F$296)*100</f>
        <v>0</v>
      </c>
      <c r="H82" s="82">
        <f t="shared" si="2"/>
        <v>1500000</v>
      </c>
      <c r="I82" s="82">
        <f>J82-0</f>
        <v>0</v>
      </c>
      <c r="J82" s="82">
        <v>0</v>
      </c>
      <c r="K82" s="56">
        <f>(J82/$J$296)*100</f>
        <v>0</v>
      </c>
      <c r="L82" s="85">
        <f t="shared" si="3"/>
        <v>1500000</v>
      </c>
      <c r="M82" s="8"/>
    </row>
    <row r="83" spans="1:13" s="7" customFormat="1" ht="15">
      <c r="A83" s="47" t="s">
        <v>81</v>
      </c>
      <c r="B83" s="50" t="s">
        <v>80</v>
      </c>
      <c r="C83" s="81">
        <f>SUM(C84:C96)</f>
        <v>1389698503</v>
      </c>
      <c r="D83" s="81">
        <f>SUM(D84:D96)</f>
        <v>1396867776.6</v>
      </c>
      <c r="E83" s="81">
        <f>SUM(E84:E96)</f>
        <v>146284291.89999998</v>
      </c>
      <c r="F83" s="81">
        <f>SUM(F84:F96)</f>
        <v>487974861.26000005</v>
      </c>
      <c r="G83" s="51">
        <f aca="true" t="shared" si="8" ref="G83:G91">(F83/$F$296)*100</f>
        <v>0.968772377743771</v>
      </c>
      <c r="H83" s="81">
        <f>D83-F83</f>
        <v>908892915.3399999</v>
      </c>
      <c r="I83" s="81">
        <f>SUM(I84:I96)</f>
        <v>145553774.73</v>
      </c>
      <c r="J83" s="81">
        <f>SUM(J84:J96)</f>
        <v>386587257.28</v>
      </c>
      <c r="K83" s="51">
        <f aca="true" t="shared" si="9" ref="K83:K115">(J83/$J$296)*100</f>
        <v>0.9593960029178792</v>
      </c>
      <c r="L83" s="84">
        <f>D83-J83</f>
        <v>1010280519.3199999</v>
      </c>
      <c r="M83" s="8"/>
    </row>
    <row r="84" spans="1:13" s="7" customFormat="1" ht="15">
      <c r="A84" s="52" t="s">
        <v>28</v>
      </c>
      <c r="B84" s="53" t="s">
        <v>33</v>
      </c>
      <c r="C84" s="82">
        <v>242441915</v>
      </c>
      <c r="D84" s="82">
        <v>242653903.29</v>
      </c>
      <c r="E84" s="82">
        <f>F84-28459976.18</f>
        <v>17858988.33</v>
      </c>
      <c r="F84" s="82">
        <v>46318964.51</v>
      </c>
      <c r="G84" s="56">
        <f t="shared" si="8"/>
        <v>0.0919566497075621</v>
      </c>
      <c r="H84" s="82">
        <f t="shared" si="2"/>
        <v>196334938.78</v>
      </c>
      <c r="I84" s="82">
        <f>J84-27062521.34</f>
        <v>17734360.430000003</v>
      </c>
      <c r="J84" s="82">
        <v>44796881.77</v>
      </c>
      <c r="K84" s="56">
        <f t="shared" si="9"/>
        <v>0.11117270035156503</v>
      </c>
      <c r="L84" s="85">
        <f t="shared" si="3"/>
        <v>197857021.51999998</v>
      </c>
      <c r="M84" s="8"/>
    </row>
    <row r="85" spans="1:13" s="7" customFormat="1" ht="15">
      <c r="A85" s="52" t="s">
        <v>29</v>
      </c>
      <c r="B85" s="53" t="s">
        <v>34</v>
      </c>
      <c r="C85" s="82">
        <v>100000</v>
      </c>
      <c r="D85" s="82">
        <v>100000</v>
      </c>
      <c r="E85" s="82">
        <f>F85-0</f>
        <v>0</v>
      </c>
      <c r="F85" s="82">
        <v>0</v>
      </c>
      <c r="G85" s="56">
        <f t="shared" si="8"/>
        <v>0</v>
      </c>
      <c r="H85" s="82"/>
      <c r="I85" s="82">
        <f>J85-0</f>
        <v>0</v>
      </c>
      <c r="J85" s="82">
        <v>0</v>
      </c>
      <c r="K85" s="56">
        <f t="shared" si="9"/>
        <v>0</v>
      </c>
      <c r="L85" s="85">
        <f t="shared" si="3"/>
        <v>100000</v>
      </c>
      <c r="M85" s="8"/>
    </row>
    <row r="86" spans="1:13" s="7" customFormat="1" ht="15">
      <c r="A86" s="52" t="s">
        <v>164</v>
      </c>
      <c r="B86" s="53" t="s">
        <v>165</v>
      </c>
      <c r="C86" s="82">
        <v>0</v>
      </c>
      <c r="D86" s="82">
        <v>0</v>
      </c>
      <c r="E86" s="82">
        <f>F86-0</f>
        <v>0</v>
      </c>
      <c r="F86" s="82">
        <v>0</v>
      </c>
      <c r="G86" s="56">
        <f t="shared" si="8"/>
        <v>0</v>
      </c>
      <c r="H86" s="82">
        <f t="shared" si="2"/>
        <v>0</v>
      </c>
      <c r="I86" s="82">
        <f>J86-0</f>
        <v>0</v>
      </c>
      <c r="J86" s="82">
        <v>0</v>
      </c>
      <c r="K86" s="56">
        <f t="shared" si="9"/>
        <v>0</v>
      </c>
      <c r="L86" s="85">
        <f t="shared" si="3"/>
        <v>0</v>
      </c>
      <c r="M86" s="8"/>
    </row>
    <row r="87" spans="1:13" s="7" customFormat="1" ht="15">
      <c r="A87" s="52" t="s">
        <v>64</v>
      </c>
      <c r="B87" s="53" t="s">
        <v>72</v>
      </c>
      <c r="C87" s="82">
        <v>0</v>
      </c>
      <c r="D87" s="82">
        <v>0</v>
      </c>
      <c r="E87" s="82">
        <f>F87-0</f>
        <v>0</v>
      </c>
      <c r="F87" s="82">
        <v>0</v>
      </c>
      <c r="G87" s="56">
        <f t="shared" si="8"/>
        <v>0</v>
      </c>
      <c r="H87" s="82">
        <f t="shared" si="2"/>
        <v>0</v>
      </c>
      <c r="I87" s="82">
        <v>0</v>
      </c>
      <c r="J87" s="82">
        <v>0</v>
      </c>
      <c r="K87" s="56">
        <f t="shared" si="9"/>
        <v>0</v>
      </c>
      <c r="L87" s="85">
        <f t="shared" si="3"/>
        <v>0</v>
      </c>
      <c r="M87" s="8"/>
    </row>
    <row r="88" spans="1:13" s="7" customFormat="1" ht="15">
      <c r="A88" s="52" t="s">
        <v>52</v>
      </c>
      <c r="B88" s="53" t="s">
        <v>59</v>
      </c>
      <c r="C88" s="82">
        <v>22397550</v>
      </c>
      <c r="D88" s="82">
        <v>65364857.54</v>
      </c>
      <c r="E88" s="82">
        <f>F88-42410562.61</f>
        <v>0</v>
      </c>
      <c r="F88" s="82">
        <v>42410562.61</v>
      </c>
      <c r="G88" s="56">
        <f t="shared" si="8"/>
        <v>0.08419733236882762</v>
      </c>
      <c r="H88" s="82">
        <f t="shared" si="2"/>
        <v>22954294.93</v>
      </c>
      <c r="I88" s="82">
        <f>J88-152765.6</f>
        <v>5770739.600000001</v>
      </c>
      <c r="J88" s="82">
        <v>5923505.2</v>
      </c>
      <c r="K88" s="56">
        <f t="shared" si="9"/>
        <v>0.01470039972897286</v>
      </c>
      <c r="L88" s="85">
        <f t="shared" si="3"/>
        <v>59441352.339999996</v>
      </c>
      <c r="M88" s="8"/>
    </row>
    <row r="89" spans="1:13" s="7" customFormat="1" ht="15">
      <c r="A89" s="52" t="s">
        <v>131</v>
      </c>
      <c r="B89" s="53" t="s">
        <v>132</v>
      </c>
      <c r="C89" s="82">
        <v>5097</v>
      </c>
      <c r="D89" s="82">
        <v>5097</v>
      </c>
      <c r="E89" s="82">
        <f>F89-0</f>
        <v>0</v>
      </c>
      <c r="F89" s="82">
        <v>0</v>
      </c>
      <c r="G89" s="56">
        <f t="shared" si="8"/>
        <v>0</v>
      </c>
      <c r="H89" s="82">
        <f>D89-F89</f>
        <v>5097</v>
      </c>
      <c r="I89" s="82">
        <f>J89-0</f>
        <v>0</v>
      </c>
      <c r="J89" s="82">
        <v>0</v>
      </c>
      <c r="K89" s="56">
        <f t="shared" si="9"/>
        <v>0</v>
      </c>
      <c r="L89" s="85">
        <f t="shared" si="3"/>
        <v>5097</v>
      </c>
      <c r="M89" s="8"/>
    </row>
    <row r="90" spans="1:13" s="7" customFormat="1" ht="15">
      <c r="A90" s="52" t="s">
        <v>82</v>
      </c>
      <c r="B90" s="53" t="s">
        <v>84</v>
      </c>
      <c r="C90" s="82">
        <v>56004424</v>
      </c>
      <c r="D90" s="82">
        <v>61435255.46</v>
      </c>
      <c r="E90" s="82">
        <f>F90-10674477.76</f>
        <v>9708723.950000001</v>
      </c>
      <c r="F90" s="82">
        <v>20383201.71</v>
      </c>
      <c r="G90" s="56">
        <f t="shared" si="8"/>
        <v>0.040466598495749725</v>
      </c>
      <c r="H90" s="82">
        <f t="shared" si="2"/>
        <v>41052053.75</v>
      </c>
      <c r="I90" s="82">
        <f>J90-9787994.69</f>
        <v>8641895.38</v>
      </c>
      <c r="J90" s="82">
        <v>18429890.07</v>
      </c>
      <c r="K90" s="56">
        <f t="shared" si="9"/>
        <v>0.0457375729137585</v>
      </c>
      <c r="L90" s="85">
        <f t="shared" si="3"/>
        <v>43005365.39</v>
      </c>
      <c r="M90" s="8"/>
    </row>
    <row r="91" spans="1:13" s="7" customFormat="1" ht="15">
      <c r="A91" s="52" t="s">
        <v>83</v>
      </c>
      <c r="B91" s="53" t="s">
        <v>85</v>
      </c>
      <c r="C91" s="82">
        <v>804558193</v>
      </c>
      <c r="D91" s="82">
        <v>748636874.77</v>
      </c>
      <c r="E91" s="82">
        <f>F91-253507893.77</f>
        <v>118089579.61999997</v>
      </c>
      <c r="F91" s="82">
        <v>371597473.39</v>
      </c>
      <c r="G91" s="56">
        <f t="shared" si="8"/>
        <v>0.737729330830832</v>
      </c>
      <c r="H91" s="82">
        <f t="shared" si="2"/>
        <v>377039401.38</v>
      </c>
      <c r="I91" s="82">
        <f>J91-202519198.42</f>
        <v>110744302.47999999</v>
      </c>
      <c r="J91" s="82">
        <v>313263500.9</v>
      </c>
      <c r="K91" s="56">
        <f t="shared" si="9"/>
        <v>0.7774279802653754</v>
      </c>
      <c r="L91" s="85">
        <f t="shared" si="3"/>
        <v>435373373.87</v>
      </c>
      <c r="M91" s="8"/>
    </row>
    <row r="92" spans="1:13" s="7" customFormat="1" ht="15">
      <c r="A92" s="52" t="s">
        <v>67</v>
      </c>
      <c r="B92" s="53" t="s">
        <v>75</v>
      </c>
      <c r="C92" s="82">
        <v>0</v>
      </c>
      <c r="D92" s="82">
        <v>0</v>
      </c>
      <c r="E92" s="82">
        <f>F92-0</f>
        <v>0</v>
      </c>
      <c r="F92" s="82">
        <v>0</v>
      </c>
      <c r="G92" s="56">
        <f aca="true" t="shared" si="10" ref="G92:G123">(F92/$F$296)*100</f>
        <v>0</v>
      </c>
      <c r="H92" s="82">
        <f t="shared" si="2"/>
        <v>0</v>
      </c>
      <c r="I92" s="98">
        <f>J92-0</f>
        <v>0</v>
      </c>
      <c r="J92" s="98">
        <v>0</v>
      </c>
      <c r="K92" s="56">
        <f t="shared" si="9"/>
        <v>0</v>
      </c>
      <c r="L92" s="85">
        <f t="shared" si="3"/>
        <v>0</v>
      </c>
      <c r="M92" s="8"/>
    </row>
    <row r="93" spans="1:13" s="7" customFormat="1" ht="15">
      <c r="A93" s="52" t="s">
        <v>93</v>
      </c>
      <c r="B93" s="53" t="s">
        <v>99</v>
      </c>
      <c r="C93" s="82">
        <v>0</v>
      </c>
      <c r="D93" s="82">
        <v>0</v>
      </c>
      <c r="E93" s="82">
        <f>F93-0</f>
        <v>0</v>
      </c>
      <c r="F93" s="82">
        <v>0</v>
      </c>
      <c r="G93" s="56">
        <f t="shared" si="10"/>
        <v>0</v>
      </c>
      <c r="H93" s="82">
        <f t="shared" si="2"/>
        <v>0</v>
      </c>
      <c r="I93" s="82">
        <f>J93-0</f>
        <v>0</v>
      </c>
      <c r="J93" s="82">
        <v>0</v>
      </c>
      <c r="K93" s="56">
        <f t="shared" si="9"/>
        <v>0</v>
      </c>
      <c r="L93" s="85">
        <f t="shared" si="3"/>
        <v>0</v>
      </c>
      <c r="M93" s="8"/>
    </row>
    <row r="94" spans="1:13" s="7" customFormat="1" ht="15">
      <c r="A94" s="52" t="s">
        <v>68</v>
      </c>
      <c r="B94" s="53" t="s">
        <v>76</v>
      </c>
      <c r="C94" s="82">
        <v>260200155</v>
      </c>
      <c r="D94" s="82">
        <v>260200155</v>
      </c>
      <c r="E94" s="82">
        <f>F94-6637659.04</f>
        <v>627000</v>
      </c>
      <c r="F94" s="82">
        <v>7264659.04</v>
      </c>
      <c r="G94" s="56">
        <f t="shared" si="10"/>
        <v>0.014422466340799345</v>
      </c>
      <c r="H94" s="82">
        <f>D94-F94</f>
        <v>252935495.96</v>
      </c>
      <c r="I94" s="82">
        <f>J94-1511002.5</f>
        <v>2662476.84</v>
      </c>
      <c r="J94" s="82">
        <v>4173479.34</v>
      </c>
      <c r="K94" s="56">
        <f t="shared" si="9"/>
        <v>0.010357349658207412</v>
      </c>
      <c r="L94" s="85">
        <f t="shared" si="3"/>
        <v>256026675.66</v>
      </c>
      <c r="M94" s="8"/>
    </row>
    <row r="95" spans="1:13" s="7" customFormat="1" ht="15">
      <c r="A95" s="52" t="s">
        <v>53</v>
      </c>
      <c r="B95" s="53" t="s">
        <v>60</v>
      </c>
      <c r="C95" s="82">
        <v>3991169</v>
      </c>
      <c r="D95" s="82">
        <v>18471633.54</v>
      </c>
      <c r="E95" s="82">
        <f>F95-0</f>
        <v>0</v>
      </c>
      <c r="F95" s="82">
        <v>0</v>
      </c>
      <c r="G95" s="56">
        <f t="shared" si="10"/>
        <v>0</v>
      </c>
      <c r="H95" s="82">
        <f t="shared" si="2"/>
        <v>18471633.54</v>
      </c>
      <c r="I95" s="82">
        <f>J95-0</f>
        <v>0</v>
      </c>
      <c r="J95" s="82">
        <v>0</v>
      </c>
      <c r="K95" s="56">
        <f t="shared" si="9"/>
        <v>0</v>
      </c>
      <c r="L95" s="85">
        <f t="shared" si="3"/>
        <v>18471633.54</v>
      </c>
      <c r="M95" s="8"/>
    </row>
    <row r="96" spans="1:13" s="7" customFormat="1" ht="15">
      <c r="A96" s="52" t="s">
        <v>96</v>
      </c>
      <c r="B96" s="53" t="s">
        <v>102</v>
      </c>
      <c r="C96" s="82">
        <v>0</v>
      </c>
      <c r="D96" s="82">
        <v>0</v>
      </c>
      <c r="E96" s="82">
        <f>F96-0</f>
        <v>0</v>
      </c>
      <c r="F96" s="82">
        <v>0</v>
      </c>
      <c r="G96" s="56">
        <f t="shared" si="10"/>
        <v>0</v>
      </c>
      <c r="H96" s="82">
        <f t="shared" si="2"/>
        <v>0</v>
      </c>
      <c r="I96" s="82">
        <f>J96-0</f>
        <v>0</v>
      </c>
      <c r="J96" s="82">
        <v>0</v>
      </c>
      <c r="K96" s="56">
        <f t="shared" si="9"/>
        <v>0</v>
      </c>
      <c r="L96" s="85">
        <f t="shared" si="3"/>
        <v>0</v>
      </c>
      <c r="M96" s="8"/>
    </row>
    <row r="97" spans="1:13" s="7" customFormat="1" ht="15">
      <c r="A97" s="47" t="s">
        <v>87</v>
      </c>
      <c r="B97" s="50" t="s">
        <v>86</v>
      </c>
      <c r="C97" s="81">
        <f>SUM(C98:C102)</f>
        <v>25974947061</v>
      </c>
      <c r="D97" s="81">
        <f>SUM(D98:D102)</f>
        <v>26991742804.67</v>
      </c>
      <c r="E97" s="81">
        <f>SUM(E98:E102)</f>
        <v>4614297598.610001</v>
      </c>
      <c r="F97" s="81">
        <f>SUM(F98:F102)</f>
        <v>13458189396.59</v>
      </c>
      <c r="G97" s="51">
        <f t="shared" si="10"/>
        <v>26.718429937548994</v>
      </c>
      <c r="H97" s="81">
        <f t="shared" si="2"/>
        <v>13533553408.079998</v>
      </c>
      <c r="I97" s="81">
        <f>SUM(I98:I102)</f>
        <v>4578406994.290001</v>
      </c>
      <c r="J97" s="81">
        <f>SUM(J98:J102)</f>
        <v>13146074597.62</v>
      </c>
      <c r="K97" s="51">
        <f t="shared" si="9"/>
        <v>32.624695163922546</v>
      </c>
      <c r="L97" s="84">
        <f t="shared" si="3"/>
        <v>13845668207.049997</v>
      </c>
      <c r="M97" s="8"/>
    </row>
    <row r="98" spans="1:13" s="7" customFormat="1" ht="15">
      <c r="A98" s="52" t="s">
        <v>28</v>
      </c>
      <c r="B98" s="53" t="s">
        <v>33</v>
      </c>
      <c r="C98" s="82">
        <v>10376933829</v>
      </c>
      <c r="D98" s="82">
        <v>10552241676.67</v>
      </c>
      <c r="E98" s="82">
        <f>F98-4080495926.5</f>
        <v>1723888778.29</v>
      </c>
      <c r="F98" s="82">
        <v>5804384704.79</v>
      </c>
      <c r="G98" s="56">
        <f t="shared" si="10"/>
        <v>11.523396015277312</v>
      </c>
      <c r="H98" s="82">
        <f t="shared" si="2"/>
        <v>4747856971.88</v>
      </c>
      <c r="I98" s="82">
        <f>J98-3957879074.17</f>
        <v>1644670420.9300003</v>
      </c>
      <c r="J98" s="82">
        <v>5602549495.1</v>
      </c>
      <c r="K98" s="56">
        <f t="shared" si="9"/>
        <v>13.903881958156308</v>
      </c>
      <c r="L98" s="85">
        <f>D98-J98</f>
        <v>4949692181.57</v>
      </c>
      <c r="M98" s="8"/>
    </row>
    <row r="99" spans="1:13" s="7" customFormat="1" ht="15">
      <c r="A99" s="52" t="s">
        <v>39</v>
      </c>
      <c r="B99" s="53" t="s">
        <v>41</v>
      </c>
      <c r="C99" s="82">
        <v>0</v>
      </c>
      <c r="D99" s="82">
        <v>0</v>
      </c>
      <c r="E99" s="82">
        <f>F99-0</f>
        <v>0</v>
      </c>
      <c r="F99" s="82">
        <v>0</v>
      </c>
      <c r="G99" s="56">
        <f t="shared" si="10"/>
        <v>0</v>
      </c>
      <c r="H99" s="82">
        <f t="shared" si="2"/>
        <v>0</v>
      </c>
      <c r="I99" s="82">
        <f>J99-0</f>
        <v>0</v>
      </c>
      <c r="J99" s="82">
        <v>0</v>
      </c>
      <c r="K99" s="56">
        <f t="shared" si="9"/>
        <v>0</v>
      </c>
      <c r="L99" s="85">
        <f>D99-J99</f>
        <v>0</v>
      </c>
      <c r="M99" s="8"/>
    </row>
    <row r="100" spans="1:13" s="7" customFormat="1" ht="15">
      <c r="A100" s="52" t="s">
        <v>232</v>
      </c>
      <c r="B100" s="53" t="s">
        <v>231</v>
      </c>
      <c r="C100" s="82">
        <v>500000</v>
      </c>
      <c r="D100" s="82">
        <v>500000</v>
      </c>
      <c r="E100" s="82">
        <f>F100-0</f>
        <v>0</v>
      </c>
      <c r="F100" s="82">
        <v>0</v>
      </c>
      <c r="G100" s="56">
        <f t="shared" si="10"/>
        <v>0</v>
      </c>
      <c r="H100" s="82">
        <f t="shared" si="2"/>
        <v>500000</v>
      </c>
      <c r="I100" s="82">
        <f>J100-0</f>
        <v>0</v>
      </c>
      <c r="J100" s="82">
        <v>0</v>
      </c>
      <c r="K100" s="56">
        <f t="shared" si="9"/>
        <v>0</v>
      </c>
      <c r="L100" s="85">
        <f>D100-J100</f>
        <v>500000</v>
      </c>
      <c r="M100" s="8"/>
    </row>
    <row r="101" spans="1:13" s="7" customFormat="1" ht="15">
      <c r="A101" s="52" t="s">
        <v>49</v>
      </c>
      <c r="B101" s="53" t="s">
        <v>56</v>
      </c>
      <c r="C101" s="82">
        <v>0</v>
      </c>
      <c r="D101" s="82">
        <v>0</v>
      </c>
      <c r="E101" s="82">
        <f>F101-0</f>
        <v>0</v>
      </c>
      <c r="F101" s="82">
        <v>0</v>
      </c>
      <c r="G101" s="56">
        <f t="shared" si="10"/>
        <v>0</v>
      </c>
      <c r="H101" s="82">
        <f t="shared" si="2"/>
        <v>0</v>
      </c>
      <c r="I101" s="82">
        <f>J101-0</f>
        <v>0</v>
      </c>
      <c r="J101" s="82">
        <v>0</v>
      </c>
      <c r="K101" s="56">
        <f t="shared" si="9"/>
        <v>0</v>
      </c>
      <c r="L101" s="85">
        <f t="shared" si="3"/>
        <v>0</v>
      </c>
      <c r="M101" s="8"/>
    </row>
    <row r="102" spans="1:13" s="7" customFormat="1" ht="15">
      <c r="A102" s="52" t="s">
        <v>88</v>
      </c>
      <c r="B102" s="53" t="s">
        <v>89</v>
      </c>
      <c r="C102" s="82">
        <v>15597513232</v>
      </c>
      <c r="D102" s="82">
        <v>16439001128</v>
      </c>
      <c r="E102" s="82">
        <f>F102-4763395871.48</f>
        <v>2890408820.3200006</v>
      </c>
      <c r="F102" s="82">
        <v>7653804691.8</v>
      </c>
      <c r="G102" s="56">
        <f t="shared" si="10"/>
        <v>15.195033922271678</v>
      </c>
      <c r="H102" s="82">
        <f t="shared" si="2"/>
        <v>8785196436.2</v>
      </c>
      <c r="I102" s="82">
        <f>J102-4609788529.16</f>
        <v>2933736573.3600006</v>
      </c>
      <c r="J102" s="82">
        <v>7543525102.52</v>
      </c>
      <c r="K102" s="56">
        <f t="shared" si="9"/>
        <v>18.720813205766238</v>
      </c>
      <c r="L102" s="85">
        <f t="shared" si="3"/>
        <v>8895476025.48</v>
      </c>
      <c r="M102" s="8"/>
    </row>
    <row r="103" spans="1:13" s="7" customFormat="1" ht="15">
      <c r="A103" s="47" t="s">
        <v>90</v>
      </c>
      <c r="B103" s="50" t="s">
        <v>91</v>
      </c>
      <c r="C103" s="81">
        <f>SUM(C104:C114)</f>
        <v>7926646849</v>
      </c>
      <c r="D103" s="81">
        <f>SUM(D104:D114)</f>
        <v>7840215478.53</v>
      </c>
      <c r="E103" s="81">
        <f>SUM(E104:E114)</f>
        <v>2059292430.0700002</v>
      </c>
      <c r="F103" s="81">
        <f>SUM(F104:F114)</f>
        <v>4297399972.77</v>
      </c>
      <c r="G103" s="51">
        <f t="shared" si="10"/>
        <v>8.531591932802856</v>
      </c>
      <c r="H103" s="81">
        <f t="shared" si="2"/>
        <v>3542815505.7599993</v>
      </c>
      <c r="I103" s="81">
        <f>SUM(I104:I114)</f>
        <v>1778114505.7499998</v>
      </c>
      <c r="J103" s="81">
        <f>SUM(J104:J114)</f>
        <v>3502736356.53</v>
      </c>
      <c r="K103" s="51">
        <f t="shared" si="9"/>
        <v>8.692762620719401</v>
      </c>
      <c r="L103" s="84">
        <f t="shared" si="3"/>
        <v>4337479122</v>
      </c>
      <c r="M103" s="8"/>
    </row>
    <row r="104" spans="1:13" s="7" customFormat="1" ht="15">
      <c r="A104" s="52" t="s">
        <v>28</v>
      </c>
      <c r="B104" s="53" t="s">
        <v>33</v>
      </c>
      <c r="C104" s="82">
        <v>1831346470</v>
      </c>
      <c r="D104" s="82">
        <v>1767030650.1</v>
      </c>
      <c r="E104" s="82">
        <f>F104-358967105.53</f>
        <v>227003881.20000005</v>
      </c>
      <c r="F104" s="82">
        <v>585970986.73</v>
      </c>
      <c r="G104" s="56">
        <f t="shared" si="10"/>
        <v>1.1633232593939336</v>
      </c>
      <c r="H104" s="82">
        <f t="shared" si="2"/>
        <v>1181059663.37</v>
      </c>
      <c r="I104" s="82">
        <f>J104-310989304.4</f>
        <v>215138437.35000002</v>
      </c>
      <c r="J104" s="82">
        <v>526127741.75</v>
      </c>
      <c r="K104" s="56">
        <f t="shared" si="9"/>
        <v>1.3056944918739672</v>
      </c>
      <c r="L104" s="85">
        <f t="shared" si="3"/>
        <v>1240902908.35</v>
      </c>
      <c r="M104" s="8"/>
    </row>
    <row r="105" spans="1:13" s="7" customFormat="1" ht="15">
      <c r="A105" s="52" t="s">
        <v>29</v>
      </c>
      <c r="B105" s="53" t="s">
        <v>34</v>
      </c>
      <c r="C105" s="82">
        <v>29386821</v>
      </c>
      <c r="D105" s="82">
        <v>21386821</v>
      </c>
      <c r="E105" s="82">
        <f>F105-13772180.63</f>
        <v>280803.1499999985</v>
      </c>
      <c r="F105" s="82">
        <v>14052983.78</v>
      </c>
      <c r="G105" s="56">
        <f t="shared" si="10"/>
        <v>0.02789927021197806</v>
      </c>
      <c r="H105" s="82">
        <f t="shared" si="2"/>
        <v>7333837.220000001</v>
      </c>
      <c r="I105" s="82">
        <f>J105-4571848.36</f>
        <v>2776077.2299999995</v>
      </c>
      <c r="J105" s="82">
        <v>7347925.59</v>
      </c>
      <c r="K105" s="56">
        <f t="shared" si="9"/>
        <v>0.018235392677928054</v>
      </c>
      <c r="L105" s="85">
        <f t="shared" si="3"/>
        <v>14038895.41</v>
      </c>
      <c r="M105" s="8"/>
    </row>
    <row r="106" spans="1:13" s="7" customFormat="1" ht="15">
      <c r="A106" s="52" t="s">
        <v>65</v>
      </c>
      <c r="B106" s="53" t="s">
        <v>73</v>
      </c>
      <c r="C106" s="82">
        <v>111299620</v>
      </c>
      <c r="D106" s="82">
        <v>111299620</v>
      </c>
      <c r="E106" s="82">
        <f>F106-52741184.04</f>
        <v>32007893.470000006</v>
      </c>
      <c r="F106" s="82">
        <v>84749077.51</v>
      </c>
      <c r="G106" s="56">
        <f t="shared" si="10"/>
        <v>0.16825162902645596</v>
      </c>
      <c r="H106" s="82">
        <f t="shared" si="2"/>
        <v>26550542.489999995</v>
      </c>
      <c r="I106" s="82">
        <f>J106-52741184.04</f>
        <v>32007893.470000006</v>
      </c>
      <c r="J106" s="82">
        <v>84749077.51</v>
      </c>
      <c r="K106" s="56">
        <f t="shared" si="9"/>
        <v>0.21032231322405254</v>
      </c>
      <c r="L106" s="85">
        <f t="shared" si="3"/>
        <v>26550542.489999995</v>
      </c>
      <c r="M106" s="8"/>
    </row>
    <row r="107" spans="1:13" s="7" customFormat="1" ht="15">
      <c r="A107" s="52" t="s">
        <v>83</v>
      </c>
      <c r="B107" s="53" t="s">
        <v>85</v>
      </c>
      <c r="C107" s="82">
        <v>0</v>
      </c>
      <c r="D107" s="82">
        <v>0</v>
      </c>
      <c r="E107" s="82">
        <f>F107-0</f>
        <v>0</v>
      </c>
      <c r="F107" s="82">
        <v>0</v>
      </c>
      <c r="G107" s="56">
        <f t="shared" si="10"/>
        <v>0</v>
      </c>
      <c r="H107" s="82">
        <f t="shared" si="2"/>
        <v>0</v>
      </c>
      <c r="I107" s="82">
        <f>J107-0</f>
        <v>0</v>
      </c>
      <c r="J107" s="82">
        <v>0</v>
      </c>
      <c r="K107" s="56">
        <f t="shared" si="9"/>
        <v>0</v>
      </c>
      <c r="L107" s="85">
        <f t="shared" si="3"/>
        <v>0</v>
      </c>
      <c r="M107" s="8"/>
    </row>
    <row r="108" spans="1:13" s="7" customFormat="1" ht="15">
      <c r="A108" s="52" t="s">
        <v>92</v>
      </c>
      <c r="B108" s="53" t="s">
        <v>98</v>
      </c>
      <c r="C108" s="82">
        <v>412418980</v>
      </c>
      <c r="D108" s="82">
        <v>255167010.84</v>
      </c>
      <c r="E108" s="82">
        <f>F108-19124692.59</f>
        <v>149516441.22</v>
      </c>
      <c r="F108" s="82">
        <v>168641133.81</v>
      </c>
      <c r="G108" s="56">
        <f t="shared" si="10"/>
        <v>0.3348018210705954</v>
      </c>
      <c r="H108" s="82">
        <f t="shared" si="2"/>
        <v>86525877.03</v>
      </c>
      <c r="I108" s="82">
        <f>J108-19124692.59</f>
        <v>32983437.180000003</v>
      </c>
      <c r="J108" s="82">
        <v>52108129.77</v>
      </c>
      <c r="K108" s="56">
        <f t="shared" si="9"/>
        <v>0.12931707002607015</v>
      </c>
      <c r="L108" s="85">
        <f t="shared" si="3"/>
        <v>203058881.07</v>
      </c>
      <c r="M108" s="8"/>
    </row>
    <row r="109" spans="1:13" s="7" customFormat="1" ht="15">
      <c r="A109" s="52" t="s">
        <v>67</v>
      </c>
      <c r="B109" s="53" t="s">
        <v>75</v>
      </c>
      <c r="C109" s="82">
        <v>5238006630</v>
      </c>
      <c r="D109" s="82">
        <v>5347033382.73</v>
      </c>
      <c r="E109" s="82">
        <f>F109-1648224236.53</f>
        <v>1632364739.22</v>
      </c>
      <c r="F109" s="82">
        <v>3280588975.75</v>
      </c>
      <c r="G109" s="56">
        <f t="shared" si="10"/>
        <v>6.512925633568588</v>
      </c>
      <c r="H109" s="82">
        <f t="shared" si="2"/>
        <v>2066444406.9799995</v>
      </c>
      <c r="I109" s="82">
        <f>J109-1212250241.88</f>
        <v>1473380447.8899999</v>
      </c>
      <c r="J109" s="82">
        <v>2685630689.77</v>
      </c>
      <c r="K109" s="56">
        <f t="shared" si="9"/>
        <v>6.664946400995158</v>
      </c>
      <c r="L109" s="85">
        <f t="shared" si="3"/>
        <v>2661402692.9599996</v>
      </c>
      <c r="M109" s="8"/>
    </row>
    <row r="110" spans="1:13" s="7" customFormat="1" ht="15">
      <c r="A110" s="52" t="s">
        <v>93</v>
      </c>
      <c r="B110" s="53" t="s">
        <v>99</v>
      </c>
      <c r="C110" s="82">
        <v>171955551</v>
      </c>
      <c r="D110" s="82">
        <v>191055551</v>
      </c>
      <c r="E110" s="82">
        <f>F110-83651131.15</f>
        <v>6008046.459999993</v>
      </c>
      <c r="F110" s="82">
        <v>89659177.61</v>
      </c>
      <c r="G110" s="56">
        <f t="shared" si="10"/>
        <v>0.17799960935592307</v>
      </c>
      <c r="H110" s="82">
        <f t="shared" si="2"/>
        <v>101396373.39</v>
      </c>
      <c r="I110" s="82">
        <f>J110-65652475.76</f>
        <v>16634104.369999997</v>
      </c>
      <c r="J110" s="82">
        <v>82286580.13</v>
      </c>
      <c r="K110" s="56">
        <f t="shared" si="9"/>
        <v>0.2042111181469302</v>
      </c>
      <c r="L110" s="85">
        <f t="shared" si="3"/>
        <v>108768970.87</v>
      </c>
      <c r="M110" s="8"/>
    </row>
    <row r="111" spans="1:13" s="7" customFormat="1" ht="15">
      <c r="A111" s="52" t="s">
        <v>94</v>
      </c>
      <c r="B111" s="53" t="s">
        <v>100</v>
      </c>
      <c r="C111" s="82">
        <v>9072924</v>
      </c>
      <c r="D111" s="82">
        <v>8473873.16</v>
      </c>
      <c r="E111" s="82">
        <f>F111-697144</f>
        <v>265898.81000000006</v>
      </c>
      <c r="F111" s="82">
        <v>963042.81</v>
      </c>
      <c r="G111" s="56">
        <f t="shared" si="10"/>
        <v>0.001911920770885046</v>
      </c>
      <c r="H111" s="82">
        <f t="shared" si="2"/>
        <v>7510830.35</v>
      </c>
      <c r="I111" s="82">
        <f>J111-403986.47</f>
        <v>110196.56000000006</v>
      </c>
      <c r="J111" s="82">
        <v>514183.03</v>
      </c>
      <c r="K111" s="56">
        <f t="shared" si="9"/>
        <v>0.0012760512263675305</v>
      </c>
      <c r="L111" s="85">
        <f t="shared" si="3"/>
        <v>7959690.13</v>
      </c>
      <c r="M111" s="8"/>
    </row>
    <row r="112" spans="1:13" s="7" customFormat="1" ht="15">
      <c r="A112" s="52" t="s">
        <v>95</v>
      </c>
      <c r="B112" s="53" t="s">
        <v>101</v>
      </c>
      <c r="C112" s="82">
        <v>122639853</v>
      </c>
      <c r="D112" s="82">
        <v>138248569.7</v>
      </c>
      <c r="E112" s="82">
        <f>F112-60929868.23</f>
        <v>11844726.54</v>
      </c>
      <c r="F112" s="82">
        <v>72774594.77</v>
      </c>
      <c r="G112" s="56">
        <f t="shared" si="10"/>
        <v>0.1444787894044972</v>
      </c>
      <c r="H112" s="82">
        <f t="shared" si="2"/>
        <v>65473974.92999999</v>
      </c>
      <c r="I112" s="82">
        <f>J112-58888117.28</f>
        <v>5083911.6999999955</v>
      </c>
      <c r="J112" s="82">
        <v>63972028.98</v>
      </c>
      <c r="K112" s="56">
        <f t="shared" si="9"/>
        <v>0.1587597825489266</v>
      </c>
      <c r="L112" s="85">
        <f t="shared" si="3"/>
        <v>74276540.72</v>
      </c>
      <c r="M112" s="8"/>
    </row>
    <row r="113" spans="1:13" s="7" customFormat="1" ht="15">
      <c r="A113" s="52" t="s">
        <v>68</v>
      </c>
      <c r="B113" s="53" t="s">
        <v>76</v>
      </c>
      <c r="C113" s="82">
        <v>515000</v>
      </c>
      <c r="D113" s="82">
        <v>515000</v>
      </c>
      <c r="E113" s="82">
        <f>F113-0</f>
        <v>0</v>
      </c>
      <c r="F113" s="82">
        <v>0</v>
      </c>
      <c r="G113" s="56">
        <f t="shared" si="10"/>
        <v>0</v>
      </c>
      <c r="H113" s="82">
        <f t="shared" si="2"/>
        <v>515000</v>
      </c>
      <c r="I113" s="82">
        <f>J113-0</f>
        <v>0</v>
      </c>
      <c r="J113" s="82">
        <v>0</v>
      </c>
      <c r="K113" s="56">
        <f t="shared" si="9"/>
        <v>0</v>
      </c>
      <c r="L113" s="85">
        <f t="shared" si="3"/>
        <v>515000</v>
      </c>
      <c r="M113" s="8"/>
    </row>
    <row r="114" spans="1:13" s="7" customFormat="1" ht="15">
      <c r="A114" s="52" t="s">
        <v>97</v>
      </c>
      <c r="B114" s="53" t="s">
        <v>241</v>
      </c>
      <c r="C114" s="82">
        <v>5000</v>
      </c>
      <c r="D114" s="82">
        <v>5000</v>
      </c>
      <c r="E114" s="82">
        <f>F114-0</f>
        <v>0</v>
      </c>
      <c r="F114" s="82">
        <v>0</v>
      </c>
      <c r="G114" s="56">
        <f t="shared" si="10"/>
        <v>0</v>
      </c>
      <c r="H114" s="82">
        <f t="shared" si="2"/>
        <v>5000</v>
      </c>
      <c r="I114" s="82">
        <f>J114-0</f>
        <v>0</v>
      </c>
      <c r="J114" s="82">
        <v>0</v>
      </c>
      <c r="K114" s="56">
        <f t="shared" si="9"/>
        <v>0</v>
      </c>
      <c r="L114" s="85">
        <f t="shared" si="3"/>
        <v>5000</v>
      </c>
      <c r="M114" s="8"/>
    </row>
    <row r="115" spans="1:17" s="7" customFormat="1" ht="15">
      <c r="A115" s="47" t="s">
        <v>104</v>
      </c>
      <c r="B115" s="50" t="s">
        <v>103</v>
      </c>
      <c r="C115" s="81">
        <f>SUM(C116:C123)</f>
        <v>97477743</v>
      </c>
      <c r="D115" s="81">
        <f>SUM(D116:D123)</f>
        <v>131309283.19</v>
      </c>
      <c r="E115" s="81">
        <f>SUM(E116:E123)</f>
        <v>44176493.44</v>
      </c>
      <c r="F115" s="81">
        <f>SUM(F116:F123)</f>
        <v>61790789.059999995</v>
      </c>
      <c r="G115" s="51">
        <f t="shared" si="10"/>
        <v>0.12267273253739411</v>
      </c>
      <c r="H115" s="81">
        <f t="shared" si="2"/>
        <v>69518494.13</v>
      </c>
      <c r="I115" s="81">
        <f>SUM(I116:I123)</f>
        <v>44024108.550000004</v>
      </c>
      <c r="J115" s="81">
        <f>SUM(J116:J123)</f>
        <v>61254939.22</v>
      </c>
      <c r="K115" s="51">
        <f t="shared" si="9"/>
        <v>0.15201676397750727</v>
      </c>
      <c r="L115" s="84">
        <f t="shared" si="3"/>
        <v>70054343.97</v>
      </c>
      <c r="M115" s="8"/>
      <c r="N115" s="86"/>
      <c r="O115" s="86"/>
      <c r="P115" s="86"/>
      <c r="Q115" s="86"/>
    </row>
    <row r="116" spans="1:17" s="7" customFormat="1" ht="15">
      <c r="A116" s="52" t="s">
        <v>48</v>
      </c>
      <c r="B116" s="53" t="s">
        <v>55</v>
      </c>
      <c r="C116" s="82">
        <v>55000</v>
      </c>
      <c r="D116" s="82">
        <v>55000</v>
      </c>
      <c r="E116" s="82">
        <f aca="true" t="shared" si="11" ref="E116:E123">F116-0</f>
        <v>0</v>
      </c>
      <c r="F116" s="82">
        <v>0</v>
      </c>
      <c r="G116" s="51">
        <f t="shared" si="10"/>
        <v>0</v>
      </c>
      <c r="H116" s="82">
        <f t="shared" si="2"/>
        <v>55000</v>
      </c>
      <c r="I116" s="82">
        <f aca="true" t="shared" si="12" ref="I116:I123">J116-0</f>
        <v>0</v>
      </c>
      <c r="J116" s="82">
        <v>0</v>
      </c>
      <c r="K116" s="51">
        <f aca="true" t="shared" si="13" ref="K116:K147">(J116/$J$296)*100</f>
        <v>0</v>
      </c>
      <c r="L116" s="85">
        <f t="shared" si="3"/>
        <v>55000</v>
      </c>
      <c r="M116" s="8"/>
      <c r="N116" s="86"/>
      <c r="O116" s="86"/>
      <c r="P116" s="86"/>
      <c r="Q116" s="86"/>
    </row>
    <row r="117" spans="1:13" s="7" customFormat="1" ht="15">
      <c r="A117" s="52" t="s">
        <v>28</v>
      </c>
      <c r="B117" s="53" t="s">
        <v>33</v>
      </c>
      <c r="C117" s="82">
        <v>16151817</v>
      </c>
      <c r="D117" s="82">
        <v>16443746.2</v>
      </c>
      <c r="E117" s="82">
        <f>F117-4161635.89</f>
        <v>2499578.94</v>
      </c>
      <c r="F117" s="82">
        <v>6661214.83</v>
      </c>
      <c r="G117" s="56">
        <f t="shared" si="10"/>
        <v>0.013224453638571373</v>
      </c>
      <c r="H117" s="82">
        <f t="shared" si="2"/>
        <v>9782531.37</v>
      </c>
      <c r="I117" s="82">
        <f>J117-3968868.73</f>
        <v>2507709.86</v>
      </c>
      <c r="J117" s="82">
        <v>6476578.59</v>
      </c>
      <c r="K117" s="56">
        <f t="shared" si="13"/>
        <v>0.016072965403846937</v>
      </c>
      <c r="L117" s="85">
        <f t="shared" si="3"/>
        <v>9967167.61</v>
      </c>
      <c r="M117" s="8"/>
    </row>
    <row r="118" spans="1:13" s="7" customFormat="1" ht="15">
      <c r="A118" s="52" t="s">
        <v>50</v>
      </c>
      <c r="B118" s="53" t="s">
        <v>57</v>
      </c>
      <c r="C118" s="82">
        <v>5000</v>
      </c>
      <c r="D118" s="82">
        <v>10000</v>
      </c>
      <c r="E118" s="82">
        <f t="shared" si="11"/>
        <v>0</v>
      </c>
      <c r="F118" s="82">
        <v>0</v>
      </c>
      <c r="G118" s="56">
        <f t="shared" si="10"/>
        <v>0</v>
      </c>
      <c r="H118" s="82">
        <f t="shared" si="2"/>
        <v>10000</v>
      </c>
      <c r="I118" s="82">
        <f t="shared" si="12"/>
        <v>0</v>
      </c>
      <c r="J118" s="82">
        <v>0</v>
      </c>
      <c r="K118" s="56">
        <f t="shared" si="13"/>
        <v>0</v>
      </c>
      <c r="L118" s="85">
        <f t="shared" si="3"/>
        <v>10000</v>
      </c>
      <c r="M118" s="8"/>
    </row>
    <row r="119" spans="1:13" s="7" customFormat="1" ht="15">
      <c r="A119" s="52" t="s">
        <v>131</v>
      </c>
      <c r="B119" s="53" t="s">
        <v>132</v>
      </c>
      <c r="C119" s="82">
        <v>5000</v>
      </c>
      <c r="D119" s="82">
        <v>1000</v>
      </c>
      <c r="E119" s="82">
        <f t="shared" si="11"/>
        <v>0</v>
      </c>
      <c r="F119" s="82">
        <v>0</v>
      </c>
      <c r="G119" s="56">
        <f t="shared" si="10"/>
        <v>0</v>
      </c>
      <c r="H119" s="82">
        <f t="shared" si="2"/>
        <v>1000</v>
      </c>
      <c r="I119" s="82">
        <f t="shared" si="12"/>
        <v>0</v>
      </c>
      <c r="J119" s="82">
        <v>0</v>
      </c>
      <c r="K119" s="56">
        <f t="shared" si="13"/>
        <v>0</v>
      </c>
      <c r="L119" s="85">
        <f t="shared" si="3"/>
        <v>1000</v>
      </c>
      <c r="M119" s="8"/>
    </row>
    <row r="120" spans="1:13" s="7" customFormat="1" ht="15">
      <c r="A120" s="52" t="s">
        <v>242</v>
      </c>
      <c r="B120" s="53" t="s">
        <v>243</v>
      </c>
      <c r="C120" s="82">
        <v>0</v>
      </c>
      <c r="D120" s="82">
        <v>0</v>
      </c>
      <c r="E120" s="82">
        <f t="shared" si="11"/>
        <v>0</v>
      </c>
      <c r="F120" s="82">
        <v>0</v>
      </c>
      <c r="G120" s="56">
        <f t="shared" si="10"/>
        <v>0</v>
      </c>
      <c r="H120" s="82">
        <f>D120-F120</f>
        <v>0</v>
      </c>
      <c r="I120" s="82">
        <f t="shared" si="12"/>
        <v>0</v>
      </c>
      <c r="J120" s="82">
        <v>0</v>
      </c>
      <c r="K120" s="56">
        <f t="shared" si="13"/>
        <v>0</v>
      </c>
      <c r="L120" s="85">
        <f>D120-J120</f>
        <v>0</v>
      </c>
      <c r="M120" s="8"/>
    </row>
    <row r="121" spans="1:13" s="7" customFormat="1" ht="15">
      <c r="A121" s="52" t="s">
        <v>105</v>
      </c>
      <c r="B121" s="53" t="s">
        <v>107</v>
      </c>
      <c r="C121" s="82">
        <v>80729089</v>
      </c>
      <c r="D121" s="82">
        <v>114235689</v>
      </c>
      <c r="E121" s="82">
        <f>F121-13452617.73</f>
        <v>41676872.5</v>
      </c>
      <c r="F121" s="82">
        <v>55129490.23</v>
      </c>
      <c r="G121" s="56">
        <f t="shared" si="10"/>
        <v>0.10944811213433098</v>
      </c>
      <c r="H121" s="82">
        <f t="shared" si="2"/>
        <v>59106198.77</v>
      </c>
      <c r="I121" s="82">
        <f>J121-13261961.94</f>
        <v>41516314.690000005</v>
      </c>
      <c r="J121" s="82">
        <v>54778276.63</v>
      </c>
      <c r="K121" s="56">
        <f t="shared" si="13"/>
        <v>0.13594359011033744</v>
      </c>
      <c r="L121" s="85">
        <f t="shared" si="3"/>
        <v>59457412.37</v>
      </c>
      <c r="M121" s="8"/>
    </row>
    <row r="122" spans="1:13" s="7" customFormat="1" ht="15">
      <c r="A122" s="52" t="s">
        <v>106</v>
      </c>
      <c r="B122" s="53" t="s">
        <v>108</v>
      </c>
      <c r="C122" s="82">
        <v>531837</v>
      </c>
      <c r="D122" s="82">
        <v>563847.99</v>
      </c>
      <c r="E122" s="82">
        <f>F122-42</f>
        <v>42</v>
      </c>
      <c r="F122" s="82">
        <v>84</v>
      </c>
      <c r="G122" s="56">
        <f t="shared" si="10"/>
        <v>1.6676449176163191E-07</v>
      </c>
      <c r="H122" s="82">
        <f t="shared" si="2"/>
        <v>563763.99</v>
      </c>
      <c r="I122" s="82">
        <f t="shared" si="12"/>
        <v>84</v>
      </c>
      <c r="J122" s="82">
        <v>84</v>
      </c>
      <c r="K122" s="56">
        <f t="shared" si="13"/>
        <v>2.0846332290443844E-07</v>
      </c>
      <c r="L122" s="85">
        <f t="shared" si="3"/>
        <v>563763.99</v>
      </c>
      <c r="M122" s="8"/>
    </row>
    <row r="123" spans="1:13" s="7" customFormat="1" ht="15">
      <c r="A123" s="52" t="s">
        <v>53</v>
      </c>
      <c r="B123" s="53" t="s">
        <v>60</v>
      </c>
      <c r="C123" s="82">
        <v>0</v>
      </c>
      <c r="D123" s="82">
        <v>0</v>
      </c>
      <c r="E123" s="82">
        <f t="shared" si="11"/>
        <v>0</v>
      </c>
      <c r="F123" s="82">
        <v>0</v>
      </c>
      <c r="G123" s="56">
        <f t="shared" si="10"/>
        <v>0</v>
      </c>
      <c r="H123" s="82">
        <f t="shared" si="2"/>
        <v>0</v>
      </c>
      <c r="I123" s="82">
        <f t="shared" si="12"/>
        <v>0</v>
      </c>
      <c r="J123" s="82">
        <v>0</v>
      </c>
      <c r="K123" s="56">
        <f t="shared" si="13"/>
        <v>0</v>
      </c>
      <c r="L123" s="85">
        <f t="shared" si="3"/>
        <v>0</v>
      </c>
      <c r="M123" s="8"/>
    </row>
    <row r="124" spans="1:13" s="7" customFormat="1" ht="15">
      <c r="A124" s="47" t="s">
        <v>109</v>
      </c>
      <c r="B124" s="50" t="s">
        <v>110</v>
      </c>
      <c r="C124" s="81">
        <f>SUM(C125:C142)</f>
        <v>8405133724</v>
      </c>
      <c r="D124" s="81">
        <f>SUM(D125:D142)</f>
        <v>9633799090.289999</v>
      </c>
      <c r="E124" s="81">
        <f>SUM(E125:E142)</f>
        <v>722385761.9999999</v>
      </c>
      <c r="F124" s="81">
        <f>SUM(F125:F142)</f>
        <v>7115275863.980001</v>
      </c>
      <c r="G124" s="51">
        <f aca="true" t="shared" si="14" ref="G124:G147">(F124/$F$296)*100</f>
        <v>14.125897180957518</v>
      </c>
      <c r="H124" s="81">
        <f t="shared" si="2"/>
        <v>2518523226.3099976</v>
      </c>
      <c r="I124" s="81">
        <f>SUM(I125:I142)</f>
        <v>1764094753.42</v>
      </c>
      <c r="J124" s="81">
        <f>SUM(J125:J142)</f>
        <v>4061148062.73</v>
      </c>
      <c r="K124" s="51">
        <f t="shared" si="13"/>
        <v>10.078576428138316</v>
      </c>
      <c r="L124" s="84">
        <f t="shared" si="3"/>
        <v>5572651027.559999</v>
      </c>
      <c r="M124" s="8"/>
    </row>
    <row r="125" spans="1:13" s="7" customFormat="1" ht="15">
      <c r="A125" s="52" t="s">
        <v>28</v>
      </c>
      <c r="B125" s="53" t="s">
        <v>33</v>
      </c>
      <c r="C125" s="82">
        <v>2641586095</v>
      </c>
      <c r="D125" s="82">
        <v>3121201025.61</v>
      </c>
      <c r="E125" s="82">
        <f>F125-1636548792.55</f>
        <v>303213955.28999996</v>
      </c>
      <c r="F125" s="82">
        <v>1939762747.84</v>
      </c>
      <c r="G125" s="56">
        <f t="shared" si="14"/>
        <v>3.850994628353383</v>
      </c>
      <c r="H125" s="82">
        <f t="shared" si="2"/>
        <v>1181438277.7700002</v>
      </c>
      <c r="I125" s="82">
        <f>J125-787674688.35</f>
        <v>485331252.9</v>
      </c>
      <c r="J125" s="82">
        <v>1273005941.25</v>
      </c>
      <c r="K125" s="56">
        <f t="shared" si="13"/>
        <v>3.1592267689293734</v>
      </c>
      <c r="L125" s="85">
        <f t="shared" si="3"/>
        <v>1848195084.3600001</v>
      </c>
      <c r="M125" s="8"/>
    </row>
    <row r="126" spans="1:13" s="7" customFormat="1" ht="15">
      <c r="A126" s="52" t="s">
        <v>50</v>
      </c>
      <c r="B126" s="53" t="s">
        <v>57</v>
      </c>
      <c r="C126" s="82">
        <v>1650000</v>
      </c>
      <c r="D126" s="82">
        <v>578000</v>
      </c>
      <c r="E126" s="82">
        <f>F126-0</f>
        <v>0</v>
      </c>
      <c r="F126" s="82">
        <v>0</v>
      </c>
      <c r="G126" s="56">
        <f t="shared" si="14"/>
        <v>0</v>
      </c>
      <c r="H126" s="82">
        <f t="shared" si="2"/>
        <v>578000</v>
      </c>
      <c r="I126" s="82">
        <f>J126-0</f>
        <v>0</v>
      </c>
      <c r="J126" s="82">
        <v>0</v>
      </c>
      <c r="K126" s="56">
        <f t="shared" si="13"/>
        <v>0</v>
      </c>
      <c r="L126" s="85">
        <f t="shared" si="3"/>
        <v>578000</v>
      </c>
      <c r="M126" s="8"/>
    </row>
    <row r="127" spans="1:13" s="7" customFormat="1" ht="15">
      <c r="A127" s="52" t="s">
        <v>29</v>
      </c>
      <c r="B127" s="53" t="s">
        <v>34</v>
      </c>
      <c r="C127" s="82">
        <v>85050192</v>
      </c>
      <c r="D127" s="82">
        <v>128659155.24</v>
      </c>
      <c r="E127" s="82">
        <f>F127-49189251.64</f>
        <v>9276962.310000002</v>
      </c>
      <c r="F127" s="82">
        <v>58466213.95</v>
      </c>
      <c r="G127" s="56">
        <f t="shared" si="14"/>
        <v>0.11607248160236411</v>
      </c>
      <c r="H127" s="82">
        <f t="shared" si="2"/>
        <v>70192941.28999999</v>
      </c>
      <c r="I127" s="82">
        <f>J127-9366609</f>
        <v>10922699</v>
      </c>
      <c r="J127" s="82">
        <v>20289308</v>
      </c>
      <c r="K127" s="56">
        <f t="shared" si="13"/>
        <v>0.05035210196561436</v>
      </c>
      <c r="L127" s="85">
        <f t="shared" si="3"/>
        <v>108369847.24</v>
      </c>
      <c r="M127" s="8"/>
    </row>
    <row r="128" spans="1:13" s="7" customFormat="1" ht="15">
      <c r="A128" s="52" t="s">
        <v>131</v>
      </c>
      <c r="B128" s="53" t="s">
        <v>132</v>
      </c>
      <c r="C128" s="82">
        <v>0</v>
      </c>
      <c r="D128" s="82">
        <v>0</v>
      </c>
      <c r="E128" s="82">
        <f>F128-0</f>
        <v>0</v>
      </c>
      <c r="F128" s="82">
        <v>0</v>
      </c>
      <c r="G128" s="56">
        <f t="shared" si="14"/>
        <v>0</v>
      </c>
      <c r="H128" s="82">
        <f t="shared" si="2"/>
        <v>0</v>
      </c>
      <c r="I128" s="82">
        <f>J128-0</f>
        <v>0</v>
      </c>
      <c r="J128" s="82">
        <v>0</v>
      </c>
      <c r="K128" s="56">
        <f t="shared" si="13"/>
        <v>0</v>
      </c>
      <c r="L128" s="85">
        <f t="shared" si="3"/>
        <v>0</v>
      </c>
      <c r="M128" s="8"/>
    </row>
    <row r="129" spans="1:13" s="7" customFormat="1" ht="15">
      <c r="A129" s="52" t="s">
        <v>82</v>
      </c>
      <c r="B129" s="53" t="s">
        <v>84</v>
      </c>
      <c r="C129" s="82">
        <v>88399672</v>
      </c>
      <c r="D129" s="82">
        <v>85330521.3</v>
      </c>
      <c r="E129" s="82">
        <f>F129-25062910.38</f>
        <v>14004502.860000003</v>
      </c>
      <c r="F129" s="82">
        <v>39067413.24</v>
      </c>
      <c r="G129" s="56">
        <f t="shared" si="14"/>
        <v>0.0775602061120268</v>
      </c>
      <c r="H129" s="82">
        <f t="shared" si="2"/>
        <v>46263108.059999995</v>
      </c>
      <c r="I129" s="82">
        <f>J129-8987468.77</f>
        <v>14363891.120000001</v>
      </c>
      <c r="J129" s="82">
        <v>23351359.89</v>
      </c>
      <c r="K129" s="56">
        <f t="shared" si="13"/>
        <v>0.05795121520246217</v>
      </c>
      <c r="L129" s="85">
        <f t="shared" si="3"/>
        <v>61979161.41</v>
      </c>
      <c r="M129" s="8"/>
    </row>
    <row r="130" spans="1:13" s="7" customFormat="1" ht="15">
      <c r="A130" s="52" t="s">
        <v>67</v>
      </c>
      <c r="B130" s="53" t="s">
        <v>75</v>
      </c>
      <c r="C130" s="82">
        <v>8857692</v>
      </c>
      <c r="D130" s="82">
        <v>8857692</v>
      </c>
      <c r="E130" s="82">
        <f>F130-5832454.98</f>
        <v>0</v>
      </c>
      <c r="F130" s="82">
        <v>5832454.98</v>
      </c>
      <c r="G130" s="56">
        <f t="shared" si="14"/>
        <v>0.011579123695979751</v>
      </c>
      <c r="H130" s="82">
        <f t="shared" si="2"/>
        <v>3025237.0199999996</v>
      </c>
      <c r="I130" s="82">
        <f>J130-687816.74</f>
        <v>766164.8200000001</v>
      </c>
      <c r="J130" s="82">
        <v>1453981.56</v>
      </c>
      <c r="K130" s="56">
        <f t="shared" si="13"/>
        <v>0.0036083550885640373</v>
      </c>
      <c r="L130" s="85">
        <f t="shared" si="3"/>
        <v>7403710.4399999995</v>
      </c>
      <c r="M130" s="8"/>
    </row>
    <row r="131" spans="1:13" s="7" customFormat="1" ht="15">
      <c r="A131" s="52" t="s">
        <v>68</v>
      </c>
      <c r="B131" s="53" t="s">
        <v>76</v>
      </c>
      <c r="C131" s="82">
        <v>302042312</v>
      </c>
      <c r="D131" s="82">
        <v>332079217.79</v>
      </c>
      <c r="E131" s="82">
        <f>F131-247163250.51</f>
        <v>43912328.05000001</v>
      </c>
      <c r="F131" s="82">
        <v>291075578.56</v>
      </c>
      <c r="G131" s="56">
        <f t="shared" si="14"/>
        <v>0.5778698919378734</v>
      </c>
      <c r="H131" s="82">
        <f t="shared" si="2"/>
        <v>41003639.23000002</v>
      </c>
      <c r="I131" s="82">
        <f>J131-71059702.98</f>
        <v>60058036.379999995</v>
      </c>
      <c r="J131" s="82">
        <v>131117739.36</v>
      </c>
      <c r="K131" s="56">
        <f t="shared" si="13"/>
        <v>0.3253957099845676</v>
      </c>
      <c r="L131" s="85">
        <f t="shared" si="3"/>
        <v>200961478.43</v>
      </c>
      <c r="M131" s="8"/>
    </row>
    <row r="132" spans="1:13" s="7" customFormat="1" ht="15">
      <c r="A132" s="52" t="s">
        <v>238</v>
      </c>
      <c r="B132" s="53" t="s">
        <v>239</v>
      </c>
      <c r="C132" s="82">
        <v>2465498</v>
      </c>
      <c r="D132" s="82">
        <v>0</v>
      </c>
      <c r="E132" s="82">
        <f>F132-0</f>
        <v>0</v>
      </c>
      <c r="F132" s="82">
        <v>0</v>
      </c>
      <c r="G132" s="56">
        <f t="shared" si="14"/>
        <v>0</v>
      </c>
      <c r="H132" s="82">
        <f t="shared" si="2"/>
        <v>0</v>
      </c>
      <c r="I132" s="82">
        <f>J132-0</f>
        <v>0</v>
      </c>
      <c r="J132" s="82">
        <v>0</v>
      </c>
      <c r="K132" s="56">
        <f t="shared" si="13"/>
        <v>0</v>
      </c>
      <c r="L132" s="85">
        <f t="shared" si="3"/>
        <v>0</v>
      </c>
      <c r="M132" s="8"/>
    </row>
    <row r="133" spans="1:13" s="7" customFormat="1" ht="15">
      <c r="A133" s="52" t="s">
        <v>111</v>
      </c>
      <c r="B133" s="53" t="s">
        <v>118</v>
      </c>
      <c r="C133" s="82">
        <v>1245125824</v>
      </c>
      <c r="D133" s="82">
        <v>943541685</v>
      </c>
      <c r="E133" s="82">
        <f>F133-731950978.77</f>
        <v>50000000</v>
      </c>
      <c r="F133" s="82">
        <v>781950978.77</v>
      </c>
      <c r="G133" s="56">
        <f t="shared" si="14"/>
        <v>1.5524006852034486</v>
      </c>
      <c r="H133" s="82">
        <f t="shared" si="2"/>
        <v>161590706.23000002</v>
      </c>
      <c r="I133" s="82">
        <f>J133-276858343.48</f>
        <v>181255480.90999997</v>
      </c>
      <c r="J133" s="82">
        <v>458113824.39</v>
      </c>
      <c r="K133" s="56">
        <f t="shared" si="13"/>
        <v>1.1369039297714258</v>
      </c>
      <c r="L133" s="85">
        <f t="shared" si="3"/>
        <v>485427860.61</v>
      </c>
      <c r="M133" s="8"/>
    </row>
    <row r="134" spans="1:13" s="7" customFormat="1" ht="15">
      <c r="A134" s="52" t="s">
        <v>112</v>
      </c>
      <c r="B134" s="53" t="s">
        <v>119</v>
      </c>
      <c r="C134" s="82">
        <v>2416523585</v>
      </c>
      <c r="D134" s="82">
        <v>2479392923.48</v>
      </c>
      <c r="E134" s="82">
        <f>F134-2331186767.79</f>
        <v>137798395.80999994</v>
      </c>
      <c r="F134" s="82">
        <v>2468985163.6</v>
      </c>
      <c r="G134" s="56">
        <f t="shared" si="14"/>
        <v>4.901655428270995</v>
      </c>
      <c r="H134" s="82">
        <f t="shared" si="2"/>
        <v>10407759.880000114</v>
      </c>
      <c r="I134" s="82">
        <f>J134-709932695.23</f>
        <v>443754953.9000001</v>
      </c>
      <c r="J134" s="82">
        <v>1153687649.13</v>
      </c>
      <c r="K134" s="56">
        <f t="shared" si="13"/>
        <v>2.8631138206124964</v>
      </c>
      <c r="L134" s="85">
        <f t="shared" si="3"/>
        <v>1325705274.35</v>
      </c>
      <c r="M134" s="8"/>
    </row>
    <row r="135" spans="1:13" s="7" customFormat="1" ht="15">
      <c r="A135" s="52" t="s">
        <v>113</v>
      </c>
      <c r="B135" s="53" t="s">
        <v>120</v>
      </c>
      <c r="C135" s="82">
        <v>128083179</v>
      </c>
      <c r="D135" s="82">
        <v>101806987.43</v>
      </c>
      <c r="E135" s="82">
        <f>F135-30720227.46</f>
        <v>13235892.25</v>
      </c>
      <c r="F135" s="82">
        <v>43956119.71</v>
      </c>
      <c r="G135" s="56">
        <f t="shared" si="14"/>
        <v>0.08726571384823335</v>
      </c>
      <c r="H135" s="82">
        <f t="shared" si="2"/>
        <v>57850867.720000006</v>
      </c>
      <c r="I135" s="82">
        <f>J135-6594749.31</f>
        <v>13396418.46</v>
      </c>
      <c r="J135" s="82">
        <v>19991167.77</v>
      </c>
      <c r="K135" s="56">
        <f t="shared" si="13"/>
        <v>0.049612205500884674</v>
      </c>
      <c r="L135" s="85">
        <f t="shared" si="3"/>
        <v>81815819.66000001</v>
      </c>
      <c r="M135" s="8"/>
    </row>
    <row r="136" spans="1:13" s="7" customFormat="1" ht="15">
      <c r="A136" s="52" t="s">
        <v>114</v>
      </c>
      <c r="B136" s="53" t="s">
        <v>121</v>
      </c>
      <c r="C136" s="82">
        <v>402789595</v>
      </c>
      <c r="D136" s="82">
        <v>397322089.34</v>
      </c>
      <c r="E136" s="82">
        <f>F136-178867042.22</f>
        <v>25962779.390000015</v>
      </c>
      <c r="F136" s="82">
        <v>204829821.61</v>
      </c>
      <c r="G136" s="56">
        <f t="shared" si="14"/>
        <v>0.40664691783830215</v>
      </c>
      <c r="H136" s="82">
        <f t="shared" si="2"/>
        <v>192492267.72999996</v>
      </c>
      <c r="I136" s="82">
        <f>J136-92707689.05</f>
        <v>57327352.36999999</v>
      </c>
      <c r="J136" s="82">
        <v>150035041.42</v>
      </c>
      <c r="K136" s="56">
        <f t="shared" si="13"/>
        <v>0.37234289626807443</v>
      </c>
      <c r="L136" s="85">
        <f t="shared" si="3"/>
        <v>247287047.92</v>
      </c>
      <c r="M136" s="8"/>
    </row>
    <row r="137" spans="1:13" s="7" customFormat="1" ht="15">
      <c r="A137" s="52" t="s">
        <v>115</v>
      </c>
      <c r="B137" s="53" t="s">
        <v>122</v>
      </c>
      <c r="C137" s="82">
        <v>15538738</v>
      </c>
      <c r="D137" s="82">
        <v>15548738</v>
      </c>
      <c r="E137" s="82">
        <f>F137-9540192.12</f>
        <v>4662576.4</v>
      </c>
      <c r="F137" s="82">
        <v>14202768.52</v>
      </c>
      <c r="G137" s="56">
        <f t="shared" si="14"/>
        <v>0.02819663659340363</v>
      </c>
      <c r="H137" s="82">
        <f t="shared" si="2"/>
        <v>1345969.4800000004</v>
      </c>
      <c r="I137" s="82">
        <f>J137-4631834.21</f>
        <v>4166665.2700000005</v>
      </c>
      <c r="J137" s="82">
        <v>8798499.48</v>
      </c>
      <c r="K137" s="56">
        <f t="shared" si="13"/>
        <v>0.021835290930640166</v>
      </c>
      <c r="L137" s="85">
        <f t="shared" si="3"/>
        <v>6750238.52</v>
      </c>
      <c r="M137" s="8"/>
    </row>
    <row r="138" spans="1:13" s="7" customFormat="1" ht="15">
      <c r="A138" s="52" t="s">
        <v>116</v>
      </c>
      <c r="B138" s="53" t="s">
        <v>123</v>
      </c>
      <c r="C138" s="82">
        <v>28137431</v>
      </c>
      <c r="D138" s="82">
        <v>41466010.67</v>
      </c>
      <c r="E138" s="82">
        <f>F138-14263072.92</f>
        <v>5153789.42</v>
      </c>
      <c r="F138" s="82">
        <v>19416862.34</v>
      </c>
      <c r="G138" s="56">
        <f t="shared" si="14"/>
        <v>0.038548133092091326</v>
      </c>
      <c r="H138" s="82">
        <f t="shared" si="2"/>
        <v>22049148.330000002</v>
      </c>
      <c r="I138" s="82">
        <f>J138-2020692.7</f>
        <v>3205141.38</v>
      </c>
      <c r="J138" s="82">
        <v>5225834.08</v>
      </c>
      <c r="K138" s="56">
        <f t="shared" si="13"/>
        <v>0.012968984967429275</v>
      </c>
      <c r="L138" s="85">
        <f t="shared" si="3"/>
        <v>36240176.59</v>
      </c>
      <c r="M138" s="8"/>
    </row>
    <row r="139" spans="1:13" s="7" customFormat="1" ht="15">
      <c r="A139" s="52" t="s">
        <v>251</v>
      </c>
      <c r="B139" s="53" t="s">
        <v>252</v>
      </c>
      <c r="C139" s="82">
        <v>760758373</v>
      </c>
      <c r="D139" s="82">
        <v>1645308877.3</v>
      </c>
      <c r="E139" s="82">
        <f>F139-1059831827.51</f>
        <v>79228260.93000007</v>
      </c>
      <c r="F139" s="82">
        <v>1139060088.44</v>
      </c>
      <c r="G139" s="56">
        <f t="shared" si="14"/>
        <v>2.261366389698287</v>
      </c>
      <c r="H139" s="82">
        <f t="shared" si="2"/>
        <v>506248788.8599999</v>
      </c>
      <c r="I139" s="82">
        <f>J139-255122290.35</f>
        <v>453607302.62</v>
      </c>
      <c r="J139" s="82">
        <v>708729592.97</v>
      </c>
      <c r="K139" s="56">
        <f t="shared" si="13"/>
        <v>1.7588586427528137</v>
      </c>
      <c r="L139" s="85">
        <f t="shared" si="3"/>
        <v>936579284.3299999</v>
      </c>
      <c r="M139" s="8"/>
    </row>
    <row r="140" spans="1:13" s="7" customFormat="1" ht="15">
      <c r="A140" s="52" t="s">
        <v>117</v>
      </c>
      <c r="B140" s="53" t="s">
        <v>124</v>
      </c>
      <c r="C140" s="82">
        <v>856500</v>
      </c>
      <c r="D140" s="82">
        <v>1601664</v>
      </c>
      <c r="E140" s="82">
        <f>F140-1345209.14</f>
        <v>0</v>
      </c>
      <c r="F140" s="82">
        <v>1345209.14</v>
      </c>
      <c r="G140" s="56">
        <f t="shared" si="14"/>
        <v>0.0026706323636333565</v>
      </c>
      <c r="H140" s="82">
        <f t="shared" si="2"/>
        <v>256454.8600000001</v>
      </c>
      <c r="I140" s="82">
        <f>J140-20605.15</f>
        <v>3075</v>
      </c>
      <c r="J140" s="82">
        <v>23680.15</v>
      </c>
      <c r="K140" s="56">
        <f t="shared" si="13"/>
        <v>5.876717566518498E-05</v>
      </c>
      <c r="L140" s="85">
        <f t="shared" si="3"/>
        <v>1577983.85</v>
      </c>
      <c r="M140" s="8"/>
    </row>
    <row r="141" spans="1:13" s="7" customFormat="1" ht="15">
      <c r="A141" s="52" t="s">
        <v>96</v>
      </c>
      <c r="B141" s="53" t="s">
        <v>102</v>
      </c>
      <c r="C141" s="82">
        <v>22982281</v>
      </c>
      <c r="D141" s="82">
        <v>112256582.13</v>
      </c>
      <c r="E141" s="82">
        <f>F141-1729026.99</f>
        <v>0</v>
      </c>
      <c r="F141" s="82">
        <v>1729026.99</v>
      </c>
      <c r="G141" s="56">
        <f t="shared" si="14"/>
        <v>0.0034326227051130268</v>
      </c>
      <c r="H141" s="82">
        <f t="shared" si="2"/>
        <v>110527555.14</v>
      </c>
      <c r="I141" s="82">
        <f>J141-1729026.99</f>
        <v>0</v>
      </c>
      <c r="J141" s="82">
        <v>1729026.99</v>
      </c>
      <c r="K141" s="56">
        <f t="shared" si="13"/>
        <v>0.0042909370443673725</v>
      </c>
      <c r="L141" s="85">
        <f t="shared" si="3"/>
        <v>110527555.14</v>
      </c>
      <c r="M141" s="8"/>
    </row>
    <row r="142" spans="1:13" s="7" customFormat="1" ht="15">
      <c r="A142" s="52" t="s">
        <v>97</v>
      </c>
      <c r="B142" s="53" t="s">
        <v>241</v>
      </c>
      <c r="C142" s="82">
        <v>254286757</v>
      </c>
      <c r="D142" s="82">
        <v>218847921</v>
      </c>
      <c r="E142" s="82">
        <f>F142-69659097</f>
        <v>35936319.29000001</v>
      </c>
      <c r="F142" s="82">
        <v>105595416.29</v>
      </c>
      <c r="G142" s="56">
        <f t="shared" si="14"/>
        <v>0.20963768964237856</v>
      </c>
      <c r="H142" s="82">
        <f>D142-F142</f>
        <v>113252504.71</v>
      </c>
      <c r="I142" s="82">
        <f>J142-69659097</f>
        <v>35936319.29000001</v>
      </c>
      <c r="J142" s="82">
        <v>105595416.29</v>
      </c>
      <c r="K142" s="56">
        <f t="shared" si="13"/>
        <v>0.26205680194393893</v>
      </c>
      <c r="L142" s="85">
        <f>D142-J142</f>
        <v>113252504.71</v>
      </c>
      <c r="M142" s="8"/>
    </row>
    <row r="143" spans="1:13" s="7" customFormat="1" ht="15">
      <c r="A143" s="47" t="s">
        <v>125</v>
      </c>
      <c r="B143" s="50" t="s">
        <v>126</v>
      </c>
      <c r="C143" s="81">
        <f>SUM(C144:C147)</f>
        <v>282010340</v>
      </c>
      <c r="D143" s="81">
        <f>SUM(D144:D147)</f>
        <v>373360957.89</v>
      </c>
      <c r="E143" s="81">
        <f>SUM(E144:E147)</f>
        <v>37632926.09</v>
      </c>
      <c r="F143" s="81">
        <f>SUM(F144:F147)</f>
        <v>96662808.80000001</v>
      </c>
      <c r="G143" s="51">
        <f t="shared" si="14"/>
        <v>0.19190385930695006</v>
      </c>
      <c r="H143" s="81">
        <f t="shared" si="2"/>
        <v>276698149.09</v>
      </c>
      <c r="I143" s="81">
        <f>SUM(I144:I147)</f>
        <v>25809748.919999998</v>
      </c>
      <c r="J143" s="81">
        <f>SUM(J144:J147)</f>
        <v>60517328.47</v>
      </c>
      <c r="K143" s="51">
        <f t="shared" si="13"/>
        <v>0.15018623078756638</v>
      </c>
      <c r="L143" s="84">
        <f t="shared" si="3"/>
        <v>312843629.41999996</v>
      </c>
      <c r="M143" s="8"/>
    </row>
    <row r="144" spans="1:13" s="7" customFormat="1" ht="15">
      <c r="A144" s="52" t="s">
        <v>28</v>
      </c>
      <c r="B144" s="53" t="s">
        <v>33</v>
      </c>
      <c r="C144" s="82">
        <v>131340511</v>
      </c>
      <c r="D144" s="82">
        <v>112022449.77</v>
      </c>
      <c r="E144" s="82">
        <f>F144-32733682.56</f>
        <v>19049074.210000005</v>
      </c>
      <c r="F144" s="82">
        <v>51782756.77</v>
      </c>
      <c r="G144" s="56">
        <f t="shared" si="14"/>
        <v>0.10280387041387208</v>
      </c>
      <c r="H144" s="82">
        <f t="shared" si="2"/>
        <v>60239692.99999999</v>
      </c>
      <c r="I144" s="82">
        <f>J144-28804428.49</f>
        <v>17960606.77</v>
      </c>
      <c r="J144" s="82">
        <v>46765035.26</v>
      </c>
      <c r="K144" s="56">
        <f t="shared" si="13"/>
        <v>0.11605707911955748</v>
      </c>
      <c r="L144" s="85">
        <f t="shared" si="3"/>
        <v>65257414.51</v>
      </c>
      <c r="M144" s="8"/>
    </row>
    <row r="145" spans="1:13" s="7" customFormat="1" ht="15">
      <c r="A145" s="52" t="s">
        <v>127</v>
      </c>
      <c r="B145" s="53" t="s">
        <v>128</v>
      </c>
      <c r="C145" s="82">
        <v>10455268</v>
      </c>
      <c r="D145" s="82">
        <v>11823957.24</v>
      </c>
      <c r="E145" s="82">
        <f>F145-10589.87</f>
        <v>1437593.41</v>
      </c>
      <c r="F145" s="82">
        <v>1448183.28</v>
      </c>
      <c r="G145" s="56">
        <f t="shared" si="14"/>
        <v>0.0028750660555582515</v>
      </c>
      <c r="H145" s="82">
        <f t="shared" si="2"/>
        <v>10375773.96</v>
      </c>
      <c r="I145" s="82">
        <f>J145-10589.87</f>
        <v>18679.58</v>
      </c>
      <c r="J145" s="82">
        <v>29269.45</v>
      </c>
      <c r="K145" s="56">
        <f t="shared" si="13"/>
        <v>7.263817626887281E-05</v>
      </c>
      <c r="L145" s="85">
        <f t="shared" si="3"/>
        <v>11794687.790000001</v>
      </c>
      <c r="M145" s="8"/>
    </row>
    <row r="146" spans="1:13" s="7" customFormat="1" ht="15">
      <c r="A146" s="52" t="s">
        <v>117</v>
      </c>
      <c r="B146" s="53" t="s">
        <v>124</v>
      </c>
      <c r="C146" s="82">
        <v>140214561</v>
      </c>
      <c r="D146" s="82">
        <v>249514550.88</v>
      </c>
      <c r="E146" s="82">
        <f>F146-26285610.28</f>
        <v>17146258.47</v>
      </c>
      <c r="F146" s="82">
        <v>43431868.75</v>
      </c>
      <c r="G146" s="56">
        <f t="shared" si="14"/>
        <v>0.08622492283751969</v>
      </c>
      <c r="H146" s="82">
        <f t="shared" si="2"/>
        <v>206082682.13</v>
      </c>
      <c r="I146" s="82">
        <f>J146-5892561.19</f>
        <v>7830462.569999999</v>
      </c>
      <c r="J146" s="82">
        <v>13723023.76</v>
      </c>
      <c r="K146" s="56">
        <f t="shared" si="13"/>
        <v>0.034056513491740006</v>
      </c>
      <c r="L146" s="85">
        <f>D146-J146</f>
        <v>235791527.12</v>
      </c>
      <c r="M146" s="8"/>
    </row>
    <row r="147" spans="1:13" s="7" customFormat="1" ht="15">
      <c r="A147" s="58" t="s">
        <v>185</v>
      </c>
      <c r="B147" s="59" t="s">
        <v>186</v>
      </c>
      <c r="C147" s="83">
        <v>0</v>
      </c>
      <c r="D147" s="83">
        <v>0</v>
      </c>
      <c r="E147" s="83">
        <f>F147-0</f>
        <v>0</v>
      </c>
      <c r="F147" s="83">
        <v>0</v>
      </c>
      <c r="G147" s="60">
        <f t="shared" si="14"/>
        <v>0</v>
      </c>
      <c r="H147" s="83">
        <f t="shared" si="2"/>
        <v>0</v>
      </c>
      <c r="I147" s="83">
        <f>J147-0</f>
        <v>0</v>
      </c>
      <c r="J147" s="83">
        <v>0</v>
      </c>
      <c r="K147" s="60">
        <f t="shared" si="13"/>
        <v>0</v>
      </c>
      <c r="L147" s="87">
        <f t="shared" si="3"/>
        <v>0</v>
      </c>
      <c r="M147" s="8"/>
    </row>
    <row r="148" spans="1:13" s="7" customFormat="1" ht="15">
      <c r="A148" s="61"/>
      <c r="B148" s="62"/>
      <c r="C148" s="63"/>
      <c r="D148" s="63"/>
      <c r="E148" s="63"/>
      <c r="F148" s="63"/>
      <c r="G148" s="64"/>
      <c r="H148" s="63"/>
      <c r="I148" s="63"/>
      <c r="J148" s="63"/>
      <c r="K148" s="64"/>
      <c r="L148" s="65" t="s">
        <v>228</v>
      </c>
      <c r="M148" s="8"/>
    </row>
    <row r="149" spans="1:13" s="7" customFormat="1" ht="13.5" customHeight="1">
      <c r="A149" s="31"/>
      <c r="B149" s="28"/>
      <c r="C149" s="32"/>
      <c r="D149" s="32"/>
      <c r="E149" s="32"/>
      <c r="F149" s="32"/>
      <c r="G149" s="33"/>
      <c r="H149" s="32"/>
      <c r="I149" s="32"/>
      <c r="J149" s="32"/>
      <c r="K149" s="33"/>
      <c r="L149" s="32"/>
      <c r="M149" s="8"/>
    </row>
    <row r="150" spans="1:13" s="7" customFormat="1" ht="15.75">
      <c r="A150" s="31"/>
      <c r="B150" s="28"/>
      <c r="C150" s="32"/>
      <c r="D150" s="32"/>
      <c r="E150" s="32"/>
      <c r="F150" s="32"/>
      <c r="G150" s="33"/>
      <c r="H150" s="32"/>
      <c r="I150" s="32"/>
      <c r="J150" s="32"/>
      <c r="K150" s="33"/>
      <c r="L150" s="32"/>
      <c r="M150" s="8"/>
    </row>
    <row r="151" spans="1:13" s="7" customFormat="1" ht="15.75">
      <c r="A151" s="31"/>
      <c r="B151" s="28"/>
      <c r="C151" s="32"/>
      <c r="D151" s="32"/>
      <c r="E151" s="32"/>
      <c r="F151" s="32"/>
      <c r="G151" s="33"/>
      <c r="H151" s="32"/>
      <c r="I151" s="32"/>
      <c r="J151" s="32"/>
      <c r="K151" s="33"/>
      <c r="L151" s="32"/>
      <c r="M151" s="8"/>
    </row>
    <row r="152" spans="1:13" s="7" customFormat="1" ht="17.25" customHeight="1">
      <c r="A152" s="31"/>
      <c r="B152" s="28"/>
      <c r="C152" s="32"/>
      <c r="D152" s="32"/>
      <c r="E152" s="32"/>
      <c r="F152" s="32"/>
      <c r="G152" s="33"/>
      <c r="H152" s="32"/>
      <c r="I152" s="32"/>
      <c r="J152" s="32"/>
      <c r="K152" s="33"/>
      <c r="L152" s="25" t="s">
        <v>157</v>
      </c>
      <c r="M152" s="8"/>
    </row>
    <row r="153" spans="1:13" s="7" customFormat="1" ht="15.75">
      <c r="A153" s="116" t="s">
        <v>14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8"/>
    </row>
    <row r="154" spans="1:13" s="7" customFormat="1" ht="15.75">
      <c r="A154" s="116" t="s">
        <v>0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8"/>
    </row>
    <row r="155" spans="1:13" s="7" customFormat="1" ht="15.75">
      <c r="A155" s="117" t="s">
        <v>1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8"/>
    </row>
    <row r="156" spans="1:13" s="7" customFormat="1" ht="15.75">
      <c r="A156" s="116" t="s">
        <v>2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8"/>
    </row>
    <row r="157" spans="1:13" s="7" customFormat="1" ht="15.75">
      <c r="A157" s="116" t="str">
        <f>A8</f>
        <v>JANEIRO A JUNHO 2022/BIMESTRE MAIO - JUNHO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8"/>
    </row>
    <row r="158" spans="1:13" s="7" customFormat="1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5" t="str">
        <f>L9</f>
        <v>Emissão: 19/07/2022</v>
      </c>
      <c r="M158" s="8"/>
    </row>
    <row r="159" spans="1:13" s="7" customFormat="1" ht="15.75">
      <c r="A159" s="27" t="s">
        <v>240</v>
      </c>
      <c r="B159" s="26"/>
      <c r="C159" s="28"/>
      <c r="D159" s="26"/>
      <c r="E159" s="26"/>
      <c r="F159" s="29"/>
      <c r="G159" s="29"/>
      <c r="H159" s="29"/>
      <c r="I159" s="26"/>
      <c r="J159" s="26"/>
      <c r="K159" s="25"/>
      <c r="L159" s="30">
        <v>1</v>
      </c>
      <c r="M159" s="8"/>
    </row>
    <row r="160" spans="1:13" s="7" customFormat="1" ht="13.5" customHeight="1">
      <c r="A160" s="11"/>
      <c r="B160" s="12"/>
      <c r="C160" s="13" t="s">
        <v>3</v>
      </c>
      <c r="D160" s="13" t="s">
        <v>3</v>
      </c>
      <c r="E160" s="118" t="s">
        <v>4</v>
      </c>
      <c r="F160" s="119"/>
      <c r="G160" s="120"/>
      <c r="H160" s="13" t="s">
        <v>18</v>
      </c>
      <c r="I160" s="118" t="s">
        <v>5</v>
      </c>
      <c r="J160" s="119"/>
      <c r="K160" s="120"/>
      <c r="L160" s="14" t="s">
        <v>18</v>
      </c>
      <c r="M160" s="8"/>
    </row>
    <row r="161" spans="1:13" s="7" customFormat="1" ht="14.25" customHeight="1">
      <c r="A161" s="15" t="s">
        <v>23</v>
      </c>
      <c r="B161" s="16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7"/>
      <c r="I161" s="16" t="s">
        <v>9</v>
      </c>
      <c r="J161" s="16" t="s">
        <v>10</v>
      </c>
      <c r="K161" s="16" t="s">
        <v>11</v>
      </c>
      <c r="L161" s="18"/>
      <c r="M161" s="8"/>
    </row>
    <row r="162" spans="1:13" s="7" customFormat="1" ht="13.5" customHeight="1">
      <c r="A162" s="19"/>
      <c r="B162" s="20"/>
      <c r="C162" s="20"/>
      <c r="D162" s="21" t="s">
        <v>12</v>
      </c>
      <c r="E162" s="21"/>
      <c r="F162" s="21" t="s">
        <v>13</v>
      </c>
      <c r="G162" s="21" t="s">
        <v>17</v>
      </c>
      <c r="H162" s="22" t="s">
        <v>19</v>
      </c>
      <c r="I162" s="21"/>
      <c r="J162" s="21" t="s">
        <v>20</v>
      </c>
      <c r="K162" s="21" t="s">
        <v>21</v>
      </c>
      <c r="L162" s="23" t="s">
        <v>22</v>
      </c>
      <c r="M162" s="8"/>
    </row>
    <row r="163" spans="1:13" s="7" customFormat="1" ht="15">
      <c r="A163" s="47" t="s">
        <v>129</v>
      </c>
      <c r="B163" s="50" t="s">
        <v>130</v>
      </c>
      <c r="C163" s="81">
        <f>SUM(C164:C170)</f>
        <v>270150256</v>
      </c>
      <c r="D163" s="81">
        <f>SUM(D164:D170)</f>
        <v>439100415.97</v>
      </c>
      <c r="E163" s="81">
        <f>SUM(E164:E170)</f>
        <v>55608323.14</v>
      </c>
      <c r="F163" s="81">
        <f>SUM(F164:F170)</f>
        <v>167916286.77</v>
      </c>
      <c r="G163" s="51">
        <f aca="true" t="shared" si="15" ref="G163:G197">(F163/$F$296)*100</f>
        <v>0.33336278835356536</v>
      </c>
      <c r="H163" s="81">
        <f aca="true" t="shared" si="16" ref="H163:H170">D163-F163</f>
        <v>271184129.20000005</v>
      </c>
      <c r="I163" s="81">
        <f>SUM(I164:I170)</f>
        <v>56311134.82999998</v>
      </c>
      <c r="J163" s="81">
        <f>SUM(J164:J170)</f>
        <v>143673972.07</v>
      </c>
      <c r="K163" s="51">
        <f aca="true" t="shared" si="17" ref="K163:K197">(J163/$J$296)*100</f>
        <v>0.3565565908641867</v>
      </c>
      <c r="L163" s="84">
        <f aca="true" t="shared" si="18" ref="L163:L170">D163-J163</f>
        <v>295426443.90000004</v>
      </c>
      <c r="M163" s="8"/>
    </row>
    <row r="164" spans="1:13" s="7" customFormat="1" ht="15">
      <c r="A164" s="52" t="s">
        <v>28</v>
      </c>
      <c r="B164" s="53" t="s">
        <v>33</v>
      </c>
      <c r="C164" s="82">
        <v>31274296</v>
      </c>
      <c r="D164" s="82">
        <v>47662596.12</v>
      </c>
      <c r="E164" s="82">
        <f>F164-9977004.72</f>
        <v>3682946.0999999996</v>
      </c>
      <c r="F164" s="82">
        <v>13659950.82</v>
      </c>
      <c r="G164" s="56">
        <f t="shared" si="15"/>
        <v>0.02711898519031175</v>
      </c>
      <c r="H164" s="82">
        <f t="shared" si="16"/>
        <v>34002645.3</v>
      </c>
      <c r="I164" s="82">
        <f>J164-9963909.64</f>
        <v>3686067.3999999985</v>
      </c>
      <c r="J164" s="82">
        <v>13649977.04</v>
      </c>
      <c r="K164" s="56">
        <f t="shared" si="17"/>
        <v>0.033875232991996324</v>
      </c>
      <c r="L164" s="85">
        <f t="shared" si="18"/>
        <v>34012619.08</v>
      </c>
      <c r="M164" s="8"/>
    </row>
    <row r="165" spans="1:13" s="7" customFormat="1" ht="15">
      <c r="A165" s="52" t="s">
        <v>49</v>
      </c>
      <c r="B165" s="53" t="s">
        <v>56</v>
      </c>
      <c r="C165" s="82">
        <v>179775546</v>
      </c>
      <c r="D165" s="82">
        <v>239349826.13</v>
      </c>
      <c r="E165" s="82">
        <f>F165-79049810.42</f>
        <v>42113749.879999995</v>
      </c>
      <c r="F165" s="82">
        <v>121163560.3</v>
      </c>
      <c r="G165" s="56">
        <f t="shared" si="15"/>
        <v>0.24054499468403978</v>
      </c>
      <c r="H165" s="82">
        <f t="shared" si="16"/>
        <v>118186265.83</v>
      </c>
      <c r="I165" s="82">
        <f>J165-69580843.18</f>
        <v>47380689.80999999</v>
      </c>
      <c r="J165" s="82">
        <v>116961532.99</v>
      </c>
      <c r="K165" s="56">
        <f t="shared" si="17"/>
        <v>0.2902641645130059</v>
      </c>
      <c r="L165" s="85">
        <f t="shared" si="18"/>
        <v>122388293.14</v>
      </c>
      <c r="M165" s="8"/>
    </row>
    <row r="166" spans="1:13" s="7" customFormat="1" ht="15">
      <c r="A166" s="52" t="s">
        <v>52</v>
      </c>
      <c r="B166" s="53" t="s">
        <v>59</v>
      </c>
      <c r="C166" s="82">
        <v>0</v>
      </c>
      <c r="D166" s="82">
        <v>0</v>
      </c>
      <c r="E166" s="82">
        <f>F166-0</f>
        <v>0</v>
      </c>
      <c r="F166" s="82">
        <v>0</v>
      </c>
      <c r="G166" s="56">
        <f t="shared" si="15"/>
        <v>0</v>
      </c>
      <c r="H166" s="82">
        <f t="shared" si="16"/>
        <v>0</v>
      </c>
      <c r="I166" s="82">
        <f>J166-0</f>
        <v>0</v>
      </c>
      <c r="J166" s="82">
        <v>0</v>
      </c>
      <c r="K166" s="56">
        <f t="shared" si="17"/>
        <v>0</v>
      </c>
      <c r="L166" s="85">
        <f t="shared" si="18"/>
        <v>0</v>
      </c>
      <c r="M166" s="8"/>
    </row>
    <row r="167" spans="1:13" s="7" customFormat="1" ht="15">
      <c r="A167" s="52" t="s">
        <v>131</v>
      </c>
      <c r="B167" s="53" t="s">
        <v>132</v>
      </c>
      <c r="C167" s="82">
        <v>1175000</v>
      </c>
      <c r="D167" s="82">
        <v>1175000</v>
      </c>
      <c r="E167" s="82">
        <f>F167-0</f>
        <v>0</v>
      </c>
      <c r="F167" s="82">
        <v>0</v>
      </c>
      <c r="G167" s="56">
        <f t="shared" si="15"/>
        <v>0</v>
      </c>
      <c r="H167" s="82">
        <f t="shared" si="16"/>
        <v>1175000</v>
      </c>
      <c r="I167" s="82">
        <f>J167-0</f>
        <v>0</v>
      </c>
      <c r="J167" s="82">
        <v>0</v>
      </c>
      <c r="K167" s="56">
        <f t="shared" si="17"/>
        <v>0</v>
      </c>
      <c r="L167" s="85">
        <f t="shared" si="18"/>
        <v>1175000</v>
      </c>
      <c r="M167" s="8"/>
    </row>
    <row r="168" spans="1:13" s="7" customFormat="1" ht="15">
      <c r="A168" s="52" t="s">
        <v>251</v>
      </c>
      <c r="B168" s="53" t="s">
        <v>252</v>
      </c>
      <c r="C168" s="82">
        <v>0</v>
      </c>
      <c r="D168" s="82">
        <v>0</v>
      </c>
      <c r="E168" s="82">
        <f>F168-0</f>
        <v>0</v>
      </c>
      <c r="F168" s="82">
        <v>0</v>
      </c>
      <c r="G168" s="56">
        <f t="shared" si="15"/>
        <v>0</v>
      </c>
      <c r="H168" s="82">
        <f t="shared" si="16"/>
        <v>0</v>
      </c>
      <c r="I168" s="82">
        <f>J168-0</f>
        <v>0</v>
      </c>
      <c r="J168" s="82">
        <v>0</v>
      </c>
      <c r="K168" s="56">
        <f t="shared" si="17"/>
        <v>0</v>
      </c>
      <c r="L168" s="85">
        <f t="shared" si="18"/>
        <v>0</v>
      </c>
      <c r="M168" s="8"/>
    </row>
    <row r="169" spans="1:13" s="7" customFormat="1" ht="15">
      <c r="A169" s="52" t="s">
        <v>127</v>
      </c>
      <c r="B169" s="53" t="s">
        <v>269</v>
      </c>
      <c r="C169" s="82">
        <v>0</v>
      </c>
      <c r="D169" s="82">
        <v>0</v>
      </c>
      <c r="E169" s="82">
        <f>F169-0</f>
        <v>0</v>
      </c>
      <c r="F169" s="82">
        <v>0</v>
      </c>
      <c r="G169" s="56">
        <f t="shared" si="15"/>
        <v>0</v>
      </c>
      <c r="H169" s="82">
        <f t="shared" si="16"/>
        <v>0</v>
      </c>
      <c r="I169" s="82">
        <f>J169-0</f>
        <v>0</v>
      </c>
      <c r="J169" s="82">
        <v>0</v>
      </c>
      <c r="K169" s="56">
        <f t="shared" si="17"/>
        <v>0</v>
      </c>
      <c r="L169" s="85">
        <f t="shared" si="18"/>
        <v>0</v>
      </c>
      <c r="M169" s="8"/>
    </row>
    <row r="170" spans="1:13" s="7" customFormat="1" ht="15">
      <c r="A170" s="61" t="s">
        <v>53</v>
      </c>
      <c r="B170" s="66" t="s">
        <v>60</v>
      </c>
      <c r="C170" s="85">
        <v>57925414</v>
      </c>
      <c r="D170" s="85">
        <v>150912993.72</v>
      </c>
      <c r="E170" s="85">
        <f>F170-23281148.49</f>
        <v>9811627.16</v>
      </c>
      <c r="F170" s="85">
        <v>33092775.65</v>
      </c>
      <c r="G170" s="67">
        <f t="shared" si="15"/>
        <v>0.06569880847921379</v>
      </c>
      <c r="H170" s="85">
        <f t="shared" si="16"/>
        <v>117820218.07</v>
      </c>
      <c r="I170" s="85">
        <f>J170-7818084.42</f>
        <v>5244377.619999999</v>
      </c>
      <c r="J170" s="85">
        <v>13062462.04</v>
      </c>
      <c r="K170" s="67">
        <f t="shared" si="17"/>
        <v>0.0324171933591844</v>
      </c>
      <c r="L170" s="85">
        <f t="shared" si="18"/>
        <v>137850531.68</v>
      </c>
      <c r="M170" s="8"/>
    </row>
    <row r="171" spans="1:13" s="7" customFormat="1" ht="15">
      <c r="A171" s="47" t="s">
        <v>133</v>
      </c>
      <c r="B171" s="50" t="s">
        <v>134</v>
      </c>
      <c r="C171" s="81">
        <f>SUM(C172:C178)</f>
        <v>859995302</v>
      </c>
      <c r="D171" s="81">
        <f>SUM(D172:D178)</f>
        <v>4719975874.04</v>
      </c>
      <c r="E171" s="81">
        <f>SUM(E172:E178)</f>
        <v>627935190.4399999</v>
      </c>
      <c r="F171" s="81">
        <f>SUM(F172:F178)</f>
        <v>1227279916.7</v>
      </c>
      <c r="G171" s="51">
        <f t="shared" si="15"/>
        <v>2.4365084709253986</v>
      </c>
      <c r="H171" s="81">
        <f aca="true" t="shared" si="19" ref="H171:H193">D171-F171</f>
        <v>3492695957.34</v>
      </c>
      <c r="I171" s="81">
        <f>SUM(I172:I178)</f>
        <v>119335627.26000002</v>
      </c>
      <c r="J171" s="81">
        <f>SUM(J172:J178)</f>
        <v>203375012.12</v>
      </c>
      <c r="K171" s="51">
        <f t="shared" si="17"/>
        <v>0.5047170335984006</v>
      </c>
      <c r="L171" s="84">
        <f aca="true" t="shared" si="20" ref="L171:L193">D171-J171</f>
        <v>4516600861.92</v>
      </c>
      <c r="M171" s="8"/>
    </row>
    <row r="172" spans="1:13" s="7" customFormat="1" ht="15">
      <c r="A172" s="52" t="s">
        <v>28</v>
      </c>
      <c r="B172" s="53" t="s">
        <v>33</v>
      </c>
      <c r="C172" s="82">
        <v>49096575</v>
      </c>
      <c r="D172" s="82">
        <v>552407984.01</v>
      </c>
      <c r="E172" s="82">
        <f>F172-283259274.09</f>
        <v>23776440.070000052</v>
      </c>
      <c r="F172" s="82">
        <v>307035714.16</v>
      </c>
      <c r="G172" s="56">
        <f t="shared" si="15"/>
        <v>0.6095554145781202</v>
      </c>
      <c r="H172" s="82">
        <f t="shared" si="19"/>
        <v>245372269.84999996</v>
      </c>
      <c r="I172" s="82">
        <f>J172-24685813.51</f>
        <v>38909097.260000005</v>
      </c>
      <c r="J172" s="82">
        <v>63594910.77</v>
      </c>
      <c r="K172" s="56">
        <f t="shared" si="17"/>
        <v>0.15782388593958882</v>
      </c>
      <c r="L172" s="85">
        <f t="shared" si="20"/>
        <v>488813073.24</v>
      </c>
      <c r="M172" s="8"/>
    </row>
    <row r="173" spans="1:13" s="7" customFormat="1" ht="15">
      <c r="A173" s="52" t="s">
        <v>50</v>
      </c>
      <c r="B173" s="53" t="s">
        <v>57</v>
      </c>
      <c r="C173" s="82">
        <v>22635</v>
      </c>
      <c r="D173" s="82">
        <v>5000</v>
      </c>
      <c r="E173" s="82">
        <f aca="true" t="shared" si="21" ref="E173:E178">F173-0</f>
        <v>0</v>
      </c>
      <c r="F173" s="82">
        <v>0</v>
      </c>
      <c r="G173" s="56">
        <f t="shared" si="15"/>
        <v>0</v>
      </c>
      <c r="H173" s="82">
        <f t="shared" si="19"/>
        <v>5000</v>
      </c>
      <c r="I173" s="82">
        <f aca="true" t="shared" si="22" ref="I173:I178">J173-0</f>
        <v>0</v>
      </c>
      <c r="J173" s="82">
        <v>0</v>
      </c>
      <c r="K173" s="56">
        <f t="shared" si="17"/>
        <v>0</v>
      </c>
      <c r="L173" s="85">
        <f t="shared" si="20"/>
        <v>5000</v>
      </c>
      <c r="M173" s="8"/>
    </row>
    <row r="174" spans="1:13" s="7" customFormat="1" ht="15">
      <c r="A174" s="52" t="s">
        <v>51</v>
      </c>
      <c r="B174" s="53" t="s">
        <v>58</v>
      </c>
      <c r="C174" s="82">
        <v>5000</v>
      </c>
      <c r="D174" s="82">
        <v>5000</v>
      </c>
      <c r="E174" s="82">
        <f t="shared" si="21"/>
        <v>0</v>
      </c>
      <c r="F174" s="82">
        <v>0</v>
      </c>
      <c r="G174" s="56">
        <f t="shared" si="15"/>
        <v>0</v>
      </c>
      <c r="H174" s="82"/>
      <c r="I174" s="82">
        <f t="shared" si="22"/>
        <v>0</v>
      </c>
      <c r="J174" s="82">
        <v>0</v>
      </c>
      <c r="K174" s="56">
        <f t="shared" si="17"/>
        <v>0</v>
      </c>
      <c r="L174" s="85">
        <f t="shared" si="20"/>
        <v>5000</v>
      </c>
      <c r="M174" s="8"/>
    </row>
    <row r="175" spans="1:13" s="7" customFormat="1" ht="15">
      <c r="A175" s="52" t="s">
        <v>29</v>
      </c>
      <c r="B175" s="53" t="s">
        <v>34</v>
      </c>
      <c r="C175" s="82">
        <v>1489290</v>
      </c>
      <c r="D175" s="82">
        <v>16595150.84</v>
      </c>
      <c r="E175" s="82">
        <f t="shared" si="21"/>
        <v>1067440.26</v>
      </c>
      <c r="F175" s="82">
        <v>1067440.26</v>
      </c>
      <c r="G175" s="56">
        <f t="shared" si="15"/>
        <v>0.0021191801481524313</v>
      </c>
      <c r="H175" s="82">
        <f t="shared" si="19"/>
        <v>15527710.58</v>
      </c>
      <c r="I175" s="82">
        <f t="shared" si="22"/>
        <v>1067439.99</v>
      </c>
      <c r="J175" s="82">
        <v>1067439.99</v>
      </c>
      <c r="K175" s="56">
        <f t="shared" si="17"/>
        <v>0.0026490724680533397</v>
      </c>
      <c r="L175" s="85">
        <f t="shared" si="20"/>
        <v>15527710.85</v>
      </c>
      <c r="M175" s="8"/>
    </row>
    <row r="176" spans="1:13" s="7" customFormat="1" ht="15">
      <c r="A176" s="52" t="s">
        <v>135</v>
      </c>
      <c r="B176" s="53" t="s">
        <v>136</v>
      </c>
      <c r="C176" s="82">
        <v>809181802</v>
      </c>
      <c r="D176" s="82">
        <v>4150762739.19</v>
      </c>
      <c r="E176" s="82">
        <f>F176-316085452.17</f>
        <v>603091310.1099999</v>
      </c>
      <c r="F176" s="82">
        <v>919176762.28</v>
      </c>
      <c r="G176" s="56">
        <f t="shared" si="15"/>
        <v>1.8248338761991258</v>
      </c>
      <c r="H176" s="82">
        <f t="shared" si="19"/>
        <v>3231585976.91</v>
      </c>
      <c r="I176" s="82">
        <f>J176-59353571.35</f>
        <v>79359090.01000002</v>
      </c>
      <c r="J176" s="82">
        <v>138712661.36</v>
      </c>
      <c r="K176" s="56">
        <f t="shared" si="17"/>
        <v>0.3442440751907584</v>
      </c>
      <c r="L176" s="85">
        <f t="shared" si="20"/>
        <v>4012050077.83</v>
      </c>
      <c r="M176" s="8"/>
    </row>
    <row r="177" spans="1:15" s="7" customFormat="1" ht="15">
      <c r="A177" s="52" t="s">
        <v>261</v>
      </c>
      <c r="B177" s="53" t="s">
        <v>262</v>
      </c>
      <c r="C177" s="82">
        <v>0</v>
      </c>
      <c r="D177" s="82">
        <v>0</v>
      </c>
      <c r="E177" s="82">
        <f t="shared" si="21"/>
        <v>0</v>
      </c>
      <c r="F177" s="82">
        <v>0</v>
      </c>
      <c r="G177" s="56">
        <f t="shared" si="15"/>
        <v>0</v>
      </c>
      <c r="H177" s="82">
        <f t="shared" si="19"/>
        <v>0</v>
      </c>
      <c r="I177" s="82">
        <f t="shared" si="22"/>
        <v>0</v>
      </c>
      <c r="J177" s="82">
        <v>0</v>
      </c>
      <c r="K177" s="56">
        <f t="shared" si="17"/>
        <v>0</v>
      </c>
      <c r="L177" s="85">
        <f t="shared" si="20"/>
        <v>0</v>
      </c>
      <c r="M177" s="115"/>
      <c r="N177" s="115"/>
      <c r="O177" s="115"/>
    </row>
    <row r="178" spans="1:15" s="7" customFormat="1" ht="15">
      <c r="A178" s="52" t="s">
        <v>185</v>
      </c>
      <c r="B178" s="53" t="s">
        <v>186</v>
      </c>
      <c r="C178" s="82">
        <v>200000</v>
      </c>
      <c r="D178" s="82">
        <v>200000</v>
      </c>
      <c r="E178" s="82">
        <f t="shared" si="21"/>
        <v>0</v>
      </c>
      <c r="F178" s="82">
        <v>0</v>
      </c>
      <c r="G178" s="56">
        <f t="shared" si="15"/>
        <v>0</v>
      </c>
      <c r="H178" s="82">
        <f t="shared" si="19"/>
        <v>200000</v>
      </c>
      <c r="I178" s="82">
        <f t="shared" si="22"/>
        <v>0</v>
      </c>
      <c r="J178" s="82">
        <v>0</v>
      </c>
      <c r="K178" s="56">
        <f t="shared" si="17"/>
        <v>0</v>
      </c>
      <c r="L178" s="85">
        <f t="shared" si="20"/>
        <v>200000</v>
      </c>
      <c r="M178" s="110"/>
      <c r="N178" s="110"/>
      <c r="O178" s="110"/>
    </row>
    <row r="179" spans="1:13" s="7" customFormat="1" ht="15">
      <c r="A179" s="47" t="s">
        <v>138</v>
      </c>
      <c r="B179" s="50" t="s">
        <v>137</v>
      </c>
      <c r="C179" s="81">
        <f>SUM(C180:C184)</f>
        <v>634075143</v>
      </c>
      <c r="D179" s="81">
        <f>SUM(D180:D184)</f>
        <v>1026830784.04</v>
      </c>
      <c r="E179" s="81">
        <f>SUM(E180:E184)</f>
        <v>285661078.48</v>
      </c>
      <c r="F179" s="81">
        <f>SUM(F180:F184)</f>
        <v>451081632.46</v>
      </c>
      <c r="G179" s="51">
        <f t="shared" si="15"/>
        <v>0.8955285616690375</v>
      </c>
      <c r="H179" s="81">
        <f t="shared" si="19"/>
        <v>575749151.5799999</v>
      </c>
      <c r="I179" s="81">
        <f>SUM(I180:I184)</f>
        <v>59624052.79</v>
      </c>
      <c r="J179" s="81">
        <f>SUM(J180:J184)</f>
        <v>110832366.64</v>
      </c>
      <c r="K179" s="51">
        <f t="shared" si="17"/>
        <v>0.27505337422782655</v>
      </c>
      <c r="L179" s="84">
        <f t="shared" si="20"/>
        <v>915998417.4</v>
      </c>
      <c r="M179" s="8"/>
    </row>
    <row r="180" spans="1:13" s="7" customFormat="1" ht="15">
      <c r="A180" s="52" t="s">
        <v>28</v>
      </c>
      <c r="B180" s="53" t="s">
        <v>33</v>
      </c>
      <c r="C180" s="82">
        <v>65776837</v>
      </c>
      <c r="D180" s="82">
        <v>79116862.74</v>
      </c>
      <c r="E180" s="82">
        <f>F180-26732550.37</f>
        <v>21743526.51</v>
      </c>
      <c r="F180" s="82">
        <v>48476076.88</v>
      </c>
      <c r="G180" s="56">
        <f t="shared" si="15"/>
        <v>0.09623914670822614</v>
      </c>
      <c r="H180" s="82">
        <f t="shared" si="19"/>
        <v>30640785.859999992</v>
      </c>
      <c r="I180" s="82">
        <f>J180-24372952</f>
        <v>14518665.54</v>
      </c>
      <c r="J180" s="82">
        <v>38891617.54</v>
      </c>
      <c r="K180" s="56">
        <f t="shared" si="17"/>
        <v>0.09651756935139216</v>
      </c>
      <c r="L180" s="85">
        <f t="shared" si="20"/>
        <v>40225245.199999996</v>
      </c>
      <c r="M180" s="8"/>
    </row>
    <row r="181" spans="1:13" s="7" customFormat="1" ht="15">
      <c r="A181" s="52" t="s">
        <v>50</v>
      </c>
      <c r="B181" s="53" t="s">
        <v>57</v>
      </c>
      <c r="C181" s="82">
        <v>1905013</v>
      </c>
      <c r="D181" s="82">
        <v>1905013</v>
      </c>
      <c r="E181" s="82">
        <f>F181-0</f>
        <v>0</v>
      </c>
      <c r="F181" s="82">
        <v>0</v>
      </c>
      <c r="G181" s="56">
        <f t="shared" si="15"/>
        <v>0</v>
      </c>
      <c r="H181" s="82">
        <f t="shared" si="19"/>
        <v>1905013</v>
      </c>
      <c r="I181" s="82">
        <f>J181-0</f>
        <v>0</v>
      </c>
      <c r="J181" s="82">
        <v>0</v>
      </c>
      <c r="K181" s="56">
        <f t="shared" si="17"/>
        <v>0</v>
      </c>
      <c r="L181" s="85">
        <f t="shared" si="20"/>
        <v>1905013</v>
      </c>
      <c r="M181" s="8"/>
    </row>
    <row r="182" spans="1:13" s="7" customFormat="1" ht="15">
      <c r="A182" s="52" t="s">
        <v>67</v>
      </c>
      <c r="B182" s="53" t="s">
        <v>75</v>
      </c>
      <c r="C182" s="82">
        <v>0</v>
      </c>
      <c r="D182" s="82">
        <v>0</v>
      </c>
      <c r="E182" s="82">
        <f>F182-0</f>
        <v>0</v>
      </c>
      <c r="F182" s="82">
        <v>0</v>
      </c>
      <c r="G182" s="56">
        <f t="shared" si="15"/>
        <v>0</v>
      </c>
      <c r="H182" s="82">
        <f t="shared" si="19"/>
        <v>0</v>
      </c>
      <c r="I182" s="82">
        <f>J182-0</f>
        <v>0</v>
      </c>
      <c r="J182" s="82">
        <v>0</v>
      </c>
      <c r="K182" s="56">
        <f t="shared" si="17"/>
        <v>0</v>
      </c>
      <c r="L182" s="85">
        <f t="shared" si="20"/>
        <v>0</v>
      </c>
      <c r="M182" s="8"/>
    </row>
    <row r="183" spans="1:13" s="7" customFormat="1" ht="15">
      <c r="A183" s="52" t="s">
        <v>135</v>
      </c>
      <c r="B183" s="53" t="s">
        <v>136</v>
      </c>
      <c r="C183" s="82">
        <v>182327434</v>
      </c>
      <c r="D183" s="82">
        <v>167108851.35</v>
      </c>
      <c r="E183" s="82">
        <f>F183-56007636.61</f>
        <v>47422727.33</v>
      </c>
      <c r="F183" s="82">
        <v>103430363.94</v>
      </c>
      <c r="G183" s="56">
        <f t="shared" si="15"/>
        <v>0.2053394294663657</v>
      </c>
      <c r="H183" s="82">
        <f t="shared" si="19"/>
        <v>63678487.41</v>
      </c>
      <c r="I183" s="82">
        <f>J183-15595927.89</f>
        <v>16972299.15</v>
      </c>
      <c r="J183" s="82">
        <v>32568227.04</v>
      </c>
      <c r="K183" s="56">
        <f t="shared" si="17"/>
        <v>0.08082477178410219</v>
      </c>
      <c r="L183" s="85">
        <f t="shared" si="20"/>
        <v>134540624.31</v>
      </c>
      <c r="M183" s="8"/>
    </row>
    <row r="184" spans="1:13" s="7" customFormat="1" ht="15">
      <c r="A184" s="52" t="s">
        <v>139</v>
      </c>
      <c r="B184" s="53" t="s">
        <v>140</v>
      </c>
      <c r="C184" s="82">
        <v>384065859</v>
      </c>
      <c r="D184" s="82">
        <v>778700056.95</v>
      </c>
      <c r="E184" s="82">
        <f>F184-82680367</f>
        <v>216494824.64</v>
      </c>
      <c r="F184" s="82">
        <v>299175191.64</v>
      </c>
      <c r="G184" s="56">
        <f t="shared" si="15"/>
        <v>0.5939499854944456</v>
      </c>
      <c r="H184" s="82">
        <f t="shared" si="19"/>
        <v>479524865.31000006</v>
      </c>
      <c r="I184" s="82">
        <f>J184-11239433.96</f>
        <v>28133088.1</v>
      </c>
      <c r="J184" s="82">
        <v>39372522.06</v>
      </c>
      <c r="K184" s="56">
        <f t="shared" si="17"/>
        <v>0.09771103309233221</v>
      </c>
      <c r="L184" s="85">
        <f t="shared" si="20"/>
        <v>739327534.8900001</v>
      </c>
      <c r="M184" s="8"/>
    </row>
    <row r="185" spans="1:13" s="7" customFormat="1" ht="15">
      <c r="A185" s="47" t="s">
        <v>141</v>
      </c>
      <c r="B185" s="50" t="s">
        <v>142</v>
      </c>
      <c r="C185" s="81">
        <f>SUM(C186:C189)</f>
        <v>551808704</v>
      </c>
      <c r="D185" s="81">
        <f>SUM(D186:D189)</f>
        <v>484835704</v>
      </c>
      <c r="E185" s="81">
        <f>SUM(E186:E189)</f>
        <v>3031336.0600000024</v>
      </c>
      <c r="F185" s="81">
        <f>SUM(F186:F189)</f>
        <v>337499835.83</v>
      </c>
      <c r="G185" s="51">
        <f t="shared" si="15"/>
        <v>0.6700355784740972</v>
      </c>
      <c r="H185" s="81">
        <f t="shared" si="19"/>
        <v>147335868.17000002</v>
      </c>
      <c r="I185" s="81">
        <f>SUM(I187:I189)</f>
        <v>23143195.72</v>
      </c>
      <c r="J185" s="81">
        <f>SUM(J187:J189)</f>
        <v>44563923.07</v>
      </c>
      <c r="K185" s="51">
        <f t="shared" si="17"/>
        <v>0.1105945652955948</v>
      </c>
      <c r="L185" s="84">
        <f t="shared" si="20"/>
        <v>440271780.93</v>
      </c>
      <c r="M185" s="8"/>
    </row>
    <row r="186" spans="1:13" s="7" customFormat="1" ht="15">
      <c r="A186" s="52" t="s">
        <v>51</v>
      </c>
      <c r="B186" s="53" t="s">
        <v>58</v>
      </c>
      <c r="C186" s="82">
        <v>0</v>
      </c>
      <c r="D186" s="82">
        <v>0</v>
      </c>
      <c r="E186" s="81">
        <f>F186-0</f>
        <v>0</v>
      </c>
      <c r="F186" s="81">
        <v>0</v>
      </c>
      <c r="G186" s="51">
        <f t="shared" si="15"/>
        <v>0</v>
      </c>
      <c r="H186" s="82">
        <f t="shared" si="19"/>
        <v>0</v>
      </c>
      <c r="I186" s="81">
        <f>J186-0</f>
        <v>0</v>
      </c>
      <c r="J186" s="81">
        <v>0</v>
      </c>
      <c r="K186" s="51">
        <f t="shared" si="17"/>
        <v>0</v>
      </c>
      <c r="L186" s="85">
        <f t="shared" si="20"/>
        <v>0</v>
      </c>
      <c r="M186" s="8"/>
    </row>
    <row r="187" spans="1:13" s="7" customFormat="1" ht="15">
      <c r="A187" s="52" t="s">
        <v>143</v>
      </c>
      <c r="B187" s="53" t="s">
        <v>144</v>
      </c>
      <c r="C187" s="82">
        <v>551608704</v>
      </c>
      <c r="D187" s="82">
        <v>484635704</v>
      </c>
      <c r="E187" s="82">
        <f>F187-334468499.77</f>
        <v>3031336.0600000024</v>
      </c>
      <c r="F187" s="82">
        <v>337499835.83</v>
      </c>
      <c r="G187" s="56">
        <f t="shared" si="15"/>
        <v>0.6700355784740972</v>
      </c>
      <c r="H187" s="82">
        <f t="shared" si="19"/>
        <v>147135868.17000002</v>
      </c>
      <c r="I187" s="82">
        <f>J187-21420727.35</f>
        <v>23143195.72</v>
      </c>
      <c r="J187" s="82">
        <v>44563923.07</v>
      </c>
      <c r="K187" s="56">
        <f t="shared" si="17"/>
        <v>0.1105945652955948</v>
      </c>
      <c r="L187" s="85">
        <f t="shared" si="20"/>
        <v>440071780.93</v>
      </c>
      <c r="M187" s="8"/>
    </row>
    <row r="188" spans="1:13" s="7" customFormat="1" ht="15">
      <c r="A188" s="52" t="s">
        <v>153</v>
      </c>
      <c r="B188" s="53" t="s">
        <v>154</v>
      </c>
      <c r="C188" s="82">
        <v>200000</v>
      </c>
      <c r="D188" s="82">
        <v>200000</v>
      </c>
      <c r="E188" s="82">
        <f>F188-0</f>
        <v>0</v>
      </c>
      <c r="F188" s="82">
        <v>0</v>
      </c>
      <c r="G188" s="56">
        <f t="shared" si="15"/>
        <v>0</v>
      </c>
      <c r="H188" s="82">
        <f t="shared" si="19"/>
        <v>200000</v>
      </c>
      <c r="I188" s="82">
        <f>J188-0</f>
        <v>0</v>
      </c>
      <c r="J188" s="82">
        <v>0</v>
      </c>
      <c r="K188" s="56">
        <f t="shared" si="17"/>
        <v>0</v>
      </c>
      <c r="L188" s="85">
        <f t="shared" si="20"/>
        <v>200000</v>
      </c>
      <c r="M188" s="8"/>
    </row>
    <row r="189" spans="1:15" s="7" customFormat="1" ht="15">
      <c r="A189" s="52" t="s">
        <v>147</v>
      </c>
      <c r="B189" s="53" t="s">
        <v>148</v>
      </c>
      <c r="C189" s="82">
        <v>0</v>
      </c>
      <c r="D189" s="82">
        <v>0</v>
      </c>
      <c r="E189" s="82">
        <f>F189-0</f>
        <v>0</v>
      </c>
      <c r="F189" s="82">
        <v>0</v>
      </c>
      <c r="G189" s="56">
        <f t="shared" si="15"/>
        <v>0</v>
      </c>
      <c r="H189" s="82">
        <f t="shared" si="19"/>
        <v>0</v>
      </c>
      <c r="I189" s="82">
        <f>J189-0</f>
        <v>0</v>
      </c>
      <c r="J189" s="82">
        <v>0</v>
      </c>
      <c r="K189" s="56">
        <f t="shared" si="17"/>
        <v>0</v>
      </c>
      <c r="L189" s="85">
        <f t="shared" si="20"/>
        <v>0</v>
      </c>
      <c r="M189" s="8"/>
      <c r="O189" s="9"/>
    </row>
    <row r="190" spans="1:15" s="7" customFormat="1" ht="15">
      <c r="A190" s="47" t="s">
        <v>149</v>
      </c>
      <c r="B190" s="50" t="s">
        <v>150</v>
      </c>
      <c r="C190" s="81">
        <f>SUM(C191:C200)</f>
        <v>668036744</v>
      </c>
      <c r="D190" s="81">
        <f>SUM(D191:D200)</f>
        <v>1187195350.71</v>
      </c>
      <c r="E190" s="81">
        <f>SUM(E191:E200)</f>
        <v>134980901.93000004</v>
      </c>
      <c r="F190" s="81">
        <f>SUM(F191:F200)</f>
        <v>345824292.12</v>
      </c>
      <c r="G190" s="51">
        <f t="shared" si="15"/>
        <v>0.6865620513597374</v>
      </c>
      <c r="H190" s="81">
        <f t="shared" si="19"/>
        <v>841371058.59</v>
      </c>
      <c r="I190" s="81">
        <f>SUM(I191:I199)</f>
        <v>112933658.77</v>
      </c>
      <c r="J190" s="81">
        <f>SUM(J191:J199)</f>
        <v>199482055.95000002</v>
      </c>
      <c r="K190" s="51">
        <f t="shared" si="17"/>
        <v>0.4950558600374537</v>
      </c>
      <c r="L190" s="84">
        <f t="shared" si="20"/>
        <v>987713294.76</v>
      </c>
      <c r="M190" s="8"/>
      <c r="O190" s="10"/>
    </row>
    <row r="191" spans="1:13" s="7" customFormat="1" ht="15">
      <c r="A191" s="52" t="s">
        <v>28</v>
      </c>
      <c r="B191" s="53" t="s">
        <v>33</v>
      </c>
      <c r="C191" s="82">
        <v>161680742</v>
      </c>
      <c r="D191" s="82">
        <v>209570781.84</v>
      </c>
      <c r="E191" s="82">
        <f>F191-57052274.55</f>
        <v>27370749.49000001</v>
      </c>
      <c r="F191" s="82">
        <v>84423024.04</v>
      </c>
      <c r="G191" s="56">
        <f t="shared" si="15"/>
        <v>0.1676043178215552</v>
      </c>
      <c r="H191" s="82">
        <f t="shared" si="19"/>
        <v>125147757.8</v>
      </c>
      <c r="I191" s="82">
        <f>J191-48092241.05</f>
        <v>28233290.950000003</v>
      </c>
      <c r="J191" s="82">
        <v>76325532</v>
      </c>
      <c r="K191" s="56">
        <f t="shared" si="17"/>
        <v>0.18941754789486964</v>
      </c>
      <c r="L191" s="85">
        <f t="shared" si="20"/>
        <v>133245249.84</v>
      </c>
      <c r="M191" s="8"/>
    </row>
    <row r="192" spans="1:13" s="7" customFormat="1" ht="15">
      <c r="A192" s="52" t="s">
        <v>29</v>
      </c>
      <c r="B192" s="53" t="s">
        <v>34</v>
      </c>
      <c r="C192" s="82">
        <v>0</v>
      </c>
      <c r="D192" s="82">
        <v>0</v>
      </c>
      <c r="E192" s="82">
        <f aca="true" t="shared" si="23" ref="E192:E200">F192-0</f>
        <v>0</v>
      </c>
      <c r="F192" s="82">
        <v>0</v>
      </c>
      <c r="G192" s="56">
        <f t="shared" si="15"/>
        <v>0</v>
      </c>
      <c r="H192" s="82">
        <f t="shared" si="19"/>
        <v>0</v>
      </c>
      <c r="I192" s="82">
        <f>J192-0</f>
        <v>0</v>
      </c>
      <c r="J192" s="82">
        <v>0</v>
      </c>
      <c r="K192" s="56">
        <f t="shared" si="17"/>
        <v>0</v>
      </c>
      <c r="L192" s="85">
        <f t="shared" si="20"/>
        <v>0</v>
      </c>
      <c r="M192" s="8"/>
    </row>
    <row r="193" spans="1:13" s="7" customFormat="1" ht="15">
      <c r="A193" s="52" t="s">
        <v>151</v>
      </c>
      <c r="B193" s="53" t="s">
        <v>152</v>
      </c>
      <c r="C193" s="82">
        <v>0</v>
      </c>
      <c r="D193" s="82">
        <v>0</v>
      </c>
      <c r="E193" s="82">
        <f t="shared" si="23"/>
        <v>0</v>
      </c>
      <c r="F193" s="82">
        <v>0</v>
      </c>
      <c r="G193" s="56">
        <f t="shared" si="15"/>
        <v>0</v>
      </c>
      <c r="H193" s="82">
        <f t="shared" si="19"/>
        <v>0</v>
      </c>
      <c r="I193" s="82">
        <f>J193-0</f>
        <v>0</v>
      </c>
      <c r="J193" s="82">
        <v>0</v>
      </c>
      <c r="K193" s="56">
        <f t="shared" si="17"/>
        <v>0</v>
      </c>
      <c r="L193" s="85">
        <f t="shared" si="20"/>
        <v>0</v>
      </c>
      <c r="M193" s="8"/>
    </row>
    <row r="194" spans="1:13" s="7" customFormat="1" ht="15">
      <c r="A194" s="52" t="s">
        <v>153</v>
      </c>
      <c r="B194" s="53" t="s">
        <v>154</v>
      </c>
      <c r="C194" s="82">
        <v>138693891</v>
      </c>
      <c r="D194" s="82">
        <v>315387715.01</v>
      </c>
      <c r="E194" s="82">
        <f>F194-41950853.6</f>
        <v>5405952.990000002</v>
      </c>
      <c r="F194" s="82">
        <v>47356806.59</v>
      </c>
      <c r="G194" s="56">
        <f t="shared" si="15"/>
        <v>0.0940170688385149</v>
      </c>
      <c r="H194" s="82">
        <f aca="true" t="shared" si="24" ref="H194:H200">D194-F194</f>
        <v>268030908.42</v>
      </c>
      <c r="I194" s="82">
        <f>J194-5651478.64</f>
        <v>2189086.75</v>
      </c>
      <c r="J194" s="82">
        <v>7840565.39</v>
      </c>
      <c r="K194" s="56">
        <f t="shared" si="17"/>
        <v>0.01945797993629684</v>
      </c>
      <c r="L194" s="85">
        <f aca="true" t="shared" si="25" ref="L194:L200">D194-J194</f>
        <v>307547149.62</v>
      </c>
      <c r="M194" s="8"/>
    </row>
    <row r="195" spans="1:13" s="7" customFormat="1" ht="15">
      <c r="A195" s="52" t="s">
        <v>30</v>
      </c>
      <c r="B195" s="53" t="s">
        <v>35</v>
      </c>
      <c r="C195" s="82">
        <v>13070694</v>
      </c>
      <c r="D195" s="82">
        <v>21070694</v>
      </c>
      <c r="E195" s="82">
        <f>F195-9593259.07</f>
        <v>590130.8499999996</v>
      </c>
      <c r="F195" s="82">
        <v>10183389.92</v>
      </c>
      <c r="G195" s="56">
        <f t="shared" si="15"/>
        <v>0.02021699814784911</v>
      </c>
      <c r="H195" s="82">
        <f t="shared" si="24"/>
        <v>10887304.08</v>
      </c>
      <c r="I195" s="82">
        <f>J195-2762470.98</f>
        <v>1832198.9300000002</v>
      </c>
      <c r="J195" s="82">
        <v>4594669.91</v>
      </c>
      <c r="K195" s="56">
        <f t="shared" si="17"/>
        <v>0.011402620917709968</v>
      </c>
      <c r="L195" s="85">
        <f t="shared" si="25"/>
        <v>16476024.09</v>
      </c>
      <c r="M195" s="8"/>
    </row>
    <row r="196" spans="1:13" s="7" customFormat="1" ht="15">
      <c r="A196" s="52" t="s">
        <v>145</v>
      </c>
      <c r="B196" s="53" t="s">
        <v>146</v>
      </c>
      <c r="C196" s="82">
        <v>264819165</v>
      </c>
      <c r="D196" s="82">
        <v>469805285.02</v>
      </c>
      <c r="E196" s="82">
        <f>F196-95023170.76</f>
        <v>41005800.230000004</v>
      </c>
      <c r="F196" s="82">
        <v>136028970.99</v>
      </c>
      <c r="G196" s="56">
        <f t="shared" si="15"/>
        <v>0.27005716919053724</v>
      </c>
      <c r="H196" s="82">
        <f t="shared" si="24"/>
        <v>333776314.03</v>
      </c>
      <c r="I196" s="82">
        <f>J196-24385540.46</f>
        <v>32854822.619999997</v>
      </c>
      <c r="J196" s="82">
        <v>57240363.08</v>
      </c>
      <c r="K196" s="56">
        <f t="shared" si="17"/>
        <v>0.14205376537992068</v>
      </c>
      <c r="L196" s="85">
        <f t="shared" si="25"/>
        <v>412564921.94</v>
      </c>
      <c r="M196" s="8"/>
    </row>
    <row r="197" spans="1:13" s="7" customFormat="1" ht="15">
      <c r="A197" s="68" t="s">
        <v>147</v>
      </c>
      <c r="B197" s="53" t="s">
        <v>148</v>
      </c>
      <c r="C197" s="82">
        <v>81686568</v>
      </c>
      <c r="D197" s="82">
        <v>128632013.13</v>
      </c>
      <c r="E197" s="82">
        <f t="shared" si="23"/>
        <v>55312652.34</v>
      </c>
      <c r="F197" s="82">
        <v>55312652.34</v>
      </c>
      <c r="G197" s="56">
        <f t="shared" si="15"/>
        <v>0.1098117423269993</v>
      </c>
      <c r="H197" s="82">
        <f t="shared" si="24"/>
        <v>73319360.78999999</v>
      </c>
      <c r="I197" s="82">
        <f>J197-0</f>
        <v>42660936.09</v>
      </c>
      <c r="J197" s="82">
        <v>42660936.09</v>
      </c>
      <c r="K197" s="56">
        <f t="shared" si="17"/>
        <v>0.10587191066113431</v>
      </c>
      <c r="L197" s="85">
        <f t="shared" si="25"/>
        <v>85971077.03999999</v>
      </c>
      <c r="M197" s="8"/>
    </row>
    <row r="198" spans="1:13" s="7" customFormat="1" ht="15">
      <c r="A198" s="68" t="s">
        <v>160</v>
      </c>
      <c r="B198" s="53" t="s">
        <v>161</v>
      </c>
      <c r="C198" s="88">
        <v>8045684</v>
      </c>
      <c r="D198" s="82">
        <v>23045684</v>
      </c>
      <c r="E198" s="82">
        <f>F198-1479560.1</f>
        <v>1040619.0099999998</v>
      </c>
      <c r="F198" s="82">
        <v>2520179.11</v>
      </c>
      <c r="G198" s="56">
        <f aca="true" t="shared" si="26" ref="G198:G229">(F198/$F$296)*100</f>
        <v>0.005003290338421808</v>
      </c>
      <c r="H198" s="82">
        <f t="shared" si="24"/>
        <v>20525504.89</v>
      </c>
      <c r="I198" s="82">
        <f>J198-406633.89</f>
        <v>908326.41</v>
      </c>
      <c r="J198" s="82">
        <v>1314960.3</v>
      </c>
      <c r="K198" s="56">
        <f aca="true" t="shared" si="27" ref="K198:K229">(J198/$J$296)*100</f>
        <v>0.003263345162207348</v>
      </c>
      <c r="L198" s="85">
        <f t="shared" si="25"/>
        <v>21730723.7</v>
      </c>
      <c r="M198" s="8"/>
    </row>
    <row r="199" spans="1:13" s="7" customFormat="1" ht="15">
      <c r="A199" s="68" t="s">
        <v>97</v>
      </c>
      <c r="B199" s="53" t="s">
        <v>237</v>
      </c>
      <c r="C199" s="88">
        <v>40000</v>
      </c>
      <c r="D199" s="82">
        <v>19683177.71</v>
      </c>
      <c r="E199" s="82">
        <f>F199-5744272.11</f>
        <v>4254997.0200000005</v>
      </c>
      <c r="F199" s="82">
        <v>9999269.13</v>
      </c>
      <c r="G199" s="56">
        <f t="shared" si="26"/>
        <v>0.019851464695859827</v>
      </c>
      <c r="H199" s="82">
        <f t="shared" si="24"/>
        <v>9683908.58</v>
      </c>
      <c r="I199" s="82">
        <f>J199-5250032.16</f>
        <v>4254997.02</v>
      </c>
      <c r="J199" s="82">
        <v>9505029.18</v>
      </c>
      <c r="K199" s="56">
        <f t="shared" si="27"/>
        <v>0.02358869008531488</v>
      </c>
      <c r="L199" s="85">
        <f t="shared" si="25"/>
        <v>10178148.530000001</v>
      </c>
      <c r="M199" s="8"/>
    </row>
    <row r="200" spans="1:13" s="7" customFormat="1" ht="15">
      <c r="A200" s="61" t="s">
        <v>201</v>
      </c>
      <c r="B200" s="53" t="s">
        <v>202</v>
      </c>
      <c r="C200" s="88">
        <v>0</v>
      </c>
      <c r="D200" s="82">
        <v>0</v>
      </c>
      <c r="E200" s="82">
        <f t="shared" si="23"/>
        <v>0</v>
      </c>
      <c r="F200" s="82">
        <v>0</v>
      </c>
      <c r="G200" s="56">
        <f t="shared" si="26"/>
        <v>0</v>
      </c>
      <c r="H200" s="82">
        <f t="shared" si="24"/>
        <v>0</v>
      </c>
      <c r="I200" s="82">
        <f>J200-0</f>
        <v>0</v>
      </c>
      <c r="J200" s="82">
        <v>0</v>
      </c>
      <c r="K200" s="56">
        <f t="shared" si="27"/>
        <v>0</v>
      </c>
      <c r="L200" s="85">
        <f t="shared" si="25"/>
        <v>0</v>
      </c>
      <c r="M200" s="8"/>
    </row>
    <row r="201" spans="1:12" ht="14.25">
      <c r="A201" s="47" t="s">
        <v>158</v>
      </c>
      <c r="B201" s="50" t="s">
        <v>159</v>
      </c>
      <c r="C201" s="81">
        <f>SUM(C202:C210)</f>
        <v>554632390</v>
      </c>
      <c r="D201" s="81">
        <f>SUM(D202:D210)</f>
        <v>719443219.3800001</v>
      </c>
      <c r="E201" s="81">
        <f>SUM(E202:E210)</f>
        <v>123289068.68</v>
      </c>
      <c r="F201" s="81">
        <f>SUM(F202:F210)</f>
        <v>373487518.18</v>
      </c>
      <c r="G201" s="51">
        <f t="shared" si="26"/>
        <v>0.7414816208166782</v>
      </c>
      <c r="H201" s="81">
        <f>D201-F201</f>
        <v>345955701.2000001</v>
      </c>
      <c r="I201" s="81">
        <f>SUM(I202:I210)</f>
        <v>119893247.14999998</v>
      </c>
      <c r="J201" s="81">
        <f>SUM(J202:J210)</f>
        <v>323046649.64</v>
      </c>
      <c r="K201" s="51">
        <f t="shared" si="27"/>
        <v>0.8017068813940512</v>
      </c>
      <c r="L201" s="84">
        <f>D201-J201</f>
        <v>396396569.7400001</v>
      </c>
    </row>
    <row r="202" spans="1:12" ht="15">
      <c r="A202" s="52" t="s">
        <v>28</v>
      </c>
      <c r="B202" s="53" t="s">
        <v>33</v>
      </c>
      <c r="C202" s="82">
        <v>136105099</v>
      </c>
      <c r="D202" s="82">
        <v>125761299.99</v>
      </c>
      <c r="E202" s="82">
        <f>F202-25159015.41</f>
        <v>23958206.290000003</v>
      </c>
      <c r="F202" s="82">
        <v>49117221.7</v>
      </c>
      <c r="G202" s="56">
        <f t="shared" si="26"/>
        <v>0.09751200611361785</v>
      </c>
      <c r="H202" s="82">
        <f aca="true" t="shared" si="28" ref="H202:H285">D202-F202</f>
        <v>76644078.28999999</v>
      </c>
      <c r="I202" s="82">
        <f>J202-23585586.18</f>
        <v>22481547.29</v>
      </c>
      <c r="J202" s="82">
        <v>46067133.47</v>
      </c>
      <c r="K202" s="56">
        <f t="shared" si="27"/>
        <v>0.11432509190283897</v>
      </c>
      <c r="L202" s="85">
        <f>D202-J202</f>
        <v>79694166.52</v>
      </c>
    </row>
    <row r="203" spans="1:12" ht="15">
      <c r="A203" s="52" t="s">
        <v>50</v>
      </c>
      <c r="B203" s="53" t="s">
        <v>57</v>
      </c>
      <c r="C203" s="82">
        <v>10814886</v>
      </c>
      <c r="D203" s="82">
        <v>108498055.88</v>
      </c>
      <c r="E203" s="82">
        <f>F203-33313346.27</f>
        <v>7452802.760000002</v>
      </c>
      <c r="F203" s="82">
        <v>40766149.03</v>
      </c>
      <c r="G203" s="56">
        <f t="shared" si="26"/>
        <v>0.08093269195317732</v>
      </c>
      <c r="H203" s="82">
        <f t="shared" si="28"/>
        <v>67731906.85</v>
      </c>
      <c r="I203" s="82">
        <f>J203-6662106.68</f>
        <v>6001621.02</v>
      </c>
      <c r="J203" s="82">
        <v>12663727.7</v>
      </c>
      <c r="K203" s="56">
        <f t="shared" si="27"/>
        <v>0.03142765186546407</v>
      </c>
      <c r="L203" s="85">
        <f aca="true" t="shared" si="29" ref="L203:L283">D203-J203</f>
        <v>95834328.17999999</v>
      </c>
    </row>
    <row r="204" spans="1:12" ht="15">
      <c r="A204" s="52" t="s">
        <v>29</v>
      </c>
      <c r="B204" s="53" t="s">
        <v>34</v>
      </c>
      <c r="C204" s="82">
        <v>355000</v>
      </c>
      <c r="D204" s="82">
        <v>882961.54</v>
      </c>
      <c r="E204" s="82">
        <f>F204-14412</f>
        <v>17043.82</v>
      </c>
      <c r="F204" s="82">
        <v>31455.82</v>
      </c>
      <c r="G204" s="56">
        <f t="shared" si="26"/>
        <v>6.244897422911163E-05</v>
      </c>
      <c r="H204" s="82">
        <f t="shared" si="28"/>
        <v>851505.7200000001</v>
      </c>
      <c r="I204" s="82">
        <f>J204-14412</f>
        <v>17043.82</v>
      </c>
      <c r="J204" s="82">
        <v>31455.82</v>
      </c>
      <c r="K204" s="56">
        <f t="shared" si="27"/>
        <v>7.806410430814158E-05</v>
      </c>
      <c r="L204" s="85">
        <f t="shared" si="29"/>
        <v>851505.7200000001</v>
      </c>
    </row>
    <row r="205" spans="1:12" ht="15">
      <c r="A205" s="52" t="s">
        <v>114</v>
      </c>
      <c r="B205" s="53" t="s">
        <v>121</v>
      </c>
      <c r="C205" s="82">
        <v>53586448</v>
      </c>
      <c r="D205" s="82">
        <v>81545799.18</v>
      </c>
      <c r="E205" s="82">
        <f>F205-22649913.62</f>
        <v>23153869.789999995</v>
      </c>
      <c r="F205" s="82">
        <v>45803783.41</v>
      </c>
      <c r="G205" s="56">
        <f t="shared" si="26"/>
        <v>0.09093386501343473</v>
      </c>
      <c r="H205" s="82">
        <f t="shared" si="28"/>
        <v>35742015.77000001</v>
      </c>
      <c r="I205" s="82">
        <f>J205-22627863.62</f>
        <v>13224582.789999995</v>
      </c>
      <c r="J205" s="82">
        <v>35852446.41</v>
      </c>
      <c r="K205" s="56">
        <f t="shared" si="27"/>
        <v>0.08897523943907029</v>
      </c>
      <c r="L205" s="85">
        <f t="shared" si="29"/>
        <v>45693352.77000001</v>
      </c>
    </row>
    <row r="206" spans="1:12" ht="15">
      <c r="A206" s="52" t="s">
        <v>116</v>
      </c>
      <c r="B206" s="53" t="s">
        <v>123</v>
      </c>
      <c r="C206" s="82">
        <v>0</v>
      </c>
      <c r="D206" s="82">
        <v>0</v>
      </c>
      <c r="E206" s="82">
        <f>F206-0</f>
        <v>0</v>
      </c>
      <c r="F206" s="82">
        <v>0</v>
      </c>
      <c r="G206" s="56">
        <f t="shared" si="26"/>
        <v>0</v>
      </c>
      <c r="H206" s="82">
        <f t="shared" si="28"/>
        <v>0</v>
      </c>
      <c r="I206" s="82">
        <f>J206-0</f>
        <v>0</v>
      </c>
      <c r="J206" s="82">
        <v>0</v>
      </c>
      <c r="K206" s="56">
        <f t="shared" si="27"/>
        <v>0</v>
      </c>
      <c r="L206" s="85">
        <f t="shared" si="29"/>
        <v>0</v>
      </c>
    </row>
    <row r="207" spans="1:12" ht="15">
      <c r="A207" s="52" t="s">
        <v>96</v>
      </c>
      <c r="B207" s="53" t="s">
        <v>102</v>
      </c>
      <c r="C207" s="82">
        <v>288760957</v>
      </c>
      <c r="D207" s="82">
        <v>327563790.22</v>
      </c>
      <c r="E207" s="82">
        <f>F207-148434270.43</f>
        <v>63203357.81</v>
      </c>
      <c r="F207" s="82">
        <v>211637628.24</v>
      </c>
      <c r="G207" s="56">
        <f t="shared" si="26"/>
        <v>0.4201623989414381</v>
      </c>
      <c r="H207" s="82">
        <f t="shared" si="28"/>
        <v>115926161.98000002</v>
      </c>
      <c r="I207" s="82">
        <f>J207-130266082.88</f>
        <v>73334225.41</v>
      </c>
      <c r="J207" s="82">
        <v>203600308.29</v>
      </c>
      <c r="K207" s="56">
        <f t="shared" si="27"/>
        <v>0.5052761525059701</v>
      </c>
      <c r="L207" s="85">
        <f t="shared" si="29"/>
        <v>123963481.93000004</v>
      </c>
    </row>
    <row r="208" spans="1:12" ht="15">
      <c r="A208" s="52" t="s">
        <v>160</v>
      </c>
      <c r="B208" s="53" t="s">
        <v>161</v>
      </c>
      <c r="C208" s="82">
        <v>0</v>
      </c>
      <c r="D208" s="82">
        <v>0</v>
      </c>
      <c r="E208" s="82">
        <f>F208-0</f>
        <v>0</v>
      </c>
      <c r="F208" s="82">
        <v>0</v>
      </c>
      <c r="G208" s="56">
        <f t="shared" si="26"/>
        <v>0</v>
      </c>
      <c r="H208" s="82">
        <f t="shared" si="28"/>
        <v>0</v>
      </c>
      <c r="I208" s="82">
        <f>J208-0</f>
        <v>0</v>
      </c>
      <c r="J208" s="82">
        <v>0</v>
      </c>
      <c r="K208" s="56">
        <f t="shared" si="27"/>
        <v>0</v>
      </c>
      <c r="L208" s="85">
        <f t="shared" si="29"/>
        <v>0</v>
      </c>
    </row>
    <row r="209" spans="1:12" ht="15">
      <c r="A209" s="52" t="s">
        <v>97</v>
      </c>
      <c r="B209" s="53" t="s">
        <v>241</v>
      </c>
      <c r="C209" s="82">
        <v>65005000</v>
      </c>
      <c r="D209" s="82">
        <v>75186312.57</v>
      </c>
      <c r="E209" s="82">
        <f>F209-20627491.77</f>
        <v>5503788.210000001</v>
      </c>
      <c r="F209" s="82">
        <v>26131279.98</v>
      </c>
      <c r="G209" s="56">
        <f t="shared" si="26"/>
        <v>0.051878209820781035</v>
      </c>
      <c r="H209" s="82">
        <f t="shared" si="28"/>
        <v>49055032.58999999</v>
      </c>
      <c r="I209" s="82">
        <f>J209-19997351.13</f>
        <v>4834226.82</v>
      </c>
      <c r="J209" s="82">
        <v>24831577.95</v>
      </c>
      <c r="K209" s="56">
        <f t="shared" si="27"/>
        <v>0.061624681576399803</v>
      </c>
      <c r="L209" s="85">
        <f t="shared" si="29"/>
        <v>50354734.61999999</v>
      </c>
    </row>
    <row r="210" spans="1:12" ht="15">
      <c r="A210" s="52" t="s">
        <v>187</v>
      </c>
      <c r="B210" s="53" t="s">
        <v>188</v>
      </c>
      <c r="C210" s="82">
        <v>5000</v>
      </c>
      <c r="D210" s="82">
        <v>5000</v>
      </c>
      <c r="E210" s="82">
        <f>F210-0</f>
        <v>0</v>
      </c>
      <c r="F210" s="82">
        <v>0</v>
      </c>
      <c r="G210" s="56">
        <f t="shared" si="26"/>
        <v>0</v>
      </c>
      <c r="H210" s="82">
        <f t="shared" si="28"/>
        <v>5000</v>
      </c>
      <c r="I210" s="82">
        <v>0</v>
      </c>
      <c r="J210" s="82">
        <v>0</v>
      </c>
      <c r="K210" s="56">
        <f t="shared" si="27"/>
        <v>0</v>
      </c>
      <c r="L210" s="85">
        <f t="shared" si="29"/>
        <v>5000</v>
      </c>
    </row>
    <row r="211" spans="1:12" ht="14.25">
      <c r="A211" s="47" t="s">
        <v>162</v>
      </c>
      <c r="B211" s="50" t="s">
        <v>163</v>
      </c>
      <c r="C211" s="81">
        <f>SUM(C212:C229)</f>
        <v>602555010</v>
      </c>
      <c r="D211" s="81">
        <f>SUM(D212:D229)</f>
        <v>771473667.8300002</v>
      </c>
      <c r="E211" s="81">
        <f>SUM(E212:E229)</f>
        <v>88281746.03999999</v>
      </c>
      <c r="F211" s="81">
        <f>SUM(F212:F229)</f>
        <v>293493717.39000005</v>
      </c>
      <c r="G211" s="51">
        <f t="shared" si="26"/>
        <v>0.5826706025687547</v>
      </c>
      <c r="H211" s="81">
        <f t="shared" si="28"/>
        <v>477979950.4400001</v>
      </c>
      <c r="I211" s="81">
        <f>SUM(I212:I229)</f>
        <v>90826216.52000001</v>
      </c>
      <c r="J211" s="81">
        <f>SUM(J212:J229)</f>
        <v>228367988.67000002</v>
      </c>
      <c r="K211" s="51">
        <f t="shared" si="27"/>
        <v>0.5667422590851351</v>
      </c>
      <c r="L211" s="84">
        <f t="shared" si="29"/>
        <v>543105679.1600001</v>
      </c>
    </row>
    <row r="212" spans="1:12" ht="15">
      <c r="A212" s="52" t="s">
        <v>28</v>
      </c>
      <c r="B212" s="53" t="s">
        <v>33</v>
      </c>
      <c r="C212" s="82">
        <v>403815826</v>
      </c>
      <c r="D212" s="82">
        <v>422985403.19</v>
      </c>
      <c r="E212" s="82">
        <f>F212-111390016.51</f>
        <v>64221661.269999996</v>
      </c>
      <c r="F212" s="82">
        <v>175611677.78</v>
      </c>
      <c r="G212" s="56">
        <f t="shared" si="26"/>
        <v>0.34864038324272817</v>
      </c>
      <c r="H212" s="82">
        <f t="shared" si="28"/>
        <v>247373725.41</v>
      </c>
      <c r="I212" s="82">
        <f>J212-105976963.72</f>
        <v>60480554.93000001</v>
      </c>
      <c r="J212" s="82">
        <v>166457518.65</v>
      </c>
      <c r="K212" s="56">
        <f t="shared" si="27"/>
        <v>0.413098660240554</v>
      </c>
      <c r="L212" s="85">
        <f t="shared" si="29"/>
        <v>256527884.54</v>
      </c>
    </row>
    <row r="213" spans="1:12" ht="15">
      <c r="A213" s="52" t="s">
        <v>50</v>
      </c>
      <c r="B213" s="53" t="s">
        <v>57</v>
      </c>
      <c r="C213" s="82">
        <v>8005000</v>
      </c>
      <c r="D213" s="82">
        <v>25893729.17</v>
      </c>
      <c r="E213" s="82">
        <f>F213-3359598.87</f>
        <v>0</v>
      </c>
      <c r="F213" s="82">
        <v>3359598.87</v>
      </c>
      <c r="G213" s="56">
        <f t="shared" si="26"/>
        <v>0.006669783310458368</v>
      </c>
      <c r="H213" s="82">
        <f t="shared" si="28"/>
        <v>22534130.3</v>
      </c>
      <c r="I213" s="82">
        <f>J213-407632.78</f>
        <v>583913.63</v>
      </c>
      <c r="J213" s="82">
        <v>991546.41</v>
      </c>
      <c r="K213" s="56">
        <f t="shared" si="27"/>
        <v>0.002460726898125794</v>
      </c>
      <c r="L213" s="85">
        <f t="shared" si="29"/>
        <v>24902182.76</v>
      </c>
    </row>
    <row r="214" spans="1:12" ht="15">
      <c r="A214" s="52" t="s">
        <v>51</v>
      </c>
      <c r="B214" s="53" t="s">
        <v>58</v>
      </c>
      <c r="C214" s="82">
        <v>0</v>
      </c>
      <c r="D214" s="82">
        <v>0</v>
      </c>
      <c r="E214" s="82">
        <f>F214-0</f>
        <v>0</v>
      </c>
      <c r="F214" s="82">
        <v>0</v>
      </c>
      <c r="G214" s="56">
        <f t="shared" si="26"/>
        <v>0</v>
      </c>
      <c r="H214" s="82">
        <f t="shared" si="28"/>
        <v>0</v>
      </c>
      <c r="I214" s="82">
        <f aca="true" t="shared" si="30" ref="I214:I228">J214-0</f>
        <v>0</v>
      </c>
      <c r="J214" s="82">
        <v>0</v>
      </c>
      <c r="K214" s="56">
        <f t="shared" si="27"/>
        <v>0</v>
      </c>
      <c r="L214" s="85">
        <f t="shared" si="29"/>
        <v>0</v>
      </c>
    </row>
    <row r="215" spans="1:12" ht="15">
      <c r="A215" s="52" t="s">
        <v>29</v>
      </c>
      <c r="B215" s="53" t="s">
        <v>263</v>
      </c>
      <c r="C215" s="82">
        <v>0</v>
      </c>
      <c r="D215" s="82">
        <v>0</v>
      </c>
      <c r="E215" s="54">
        <f>F215-0</f>
        <v>0</v>
      </c>
      <c r="F215" s="54">
        <v>0</v>
      </c>
      <c r="G215" s="56">
        <f t="shared" si="26"/>
        <v>0</v>
      </c>
      <c r="H215" s="82">
        <f t="shared" si="28"/>
        <v>0</v>
      </c>
      <c r="I215" s="82">
        <f t="shared" si="30"/>
        <v>0</v>
      </c>
      <c r="J215" s="82">
        <v>0</v>
      </c>
      <c r="K215" s="56">
        <f t="shared" si="27"/>
        <v>0</v>
      </c>
      <c r="L215" s="85">
        <f t="shared" si="29"/>
        <v>0</v>
      </c>
    </row>
    <row r="216" spans="1:12" ht="15">
      <c r="A216" s="52" t="s">
        <v>94</v>
      </c>
      <c r="B216" s="53" t="s">
        <v>100</v>
      </c>
      <c r="C216" s="54">
        <v>0</v>
      </c>
      <c r="D216" s="54">
        <v>0</v>
      </c>
      <c r="E216" s="54">
        <f>F216-0</f>
        <v>0</v>
      </c>
      <c r="F216" s="54">
        <v>0</v>
      </c>
      <c r="G216" s="56">
        <f t="shared" si="26"/>
        <v>0</v>
      </c>
      <c r="H216" s="82">
        <f t="shared" si="28"/>
        <v>0</v>
      </c>
      <c r="I216" s="82">
        <f t="shared" si="30"/>
        <v>0</v>
      </c>
      <c r="J216" s="82">
        <v>0</v>
      </c>
      <c r="K216" s="56">
        <f t="shared" si="27"/>
        <v>0</v>
      </c>
      <c r="L216" s="85">
        <f t="shared" si="29"/>
        <v>0</v>
      </c>
    </row>
    <row r="217" spans="1:12" ht="15">
      <c r="A217" s="52" t="s">
        <v>68</v>
      </c>
      <c r="B217" s="53" t="s">
        <v>76</v>
      </c>
      <c r="C217" s="82">
        <v>85000</v>
      </c>
      <c r="D217" s="82">
        <v>85000</v>
      </c>
      <c r="E217" s="82">
        <f>F217-1926.6</f>
        <v>861.9000000000001</v>
      </c>
      <c r="F217" s="82">
        <v>2788.5</v>
      </c>
      <c r="G217" s="56">
        <f t="shared" si="26"/>
        <v>5.5359855390156025E-06</v>
      </c>
      <c r="H217" s="82">
        <f t="shared" si="28"/>
        <v>82211.5</v>
      </c>
      <c r="I217" s="82">
        <f>J217-1926.6</f>
        <v>0</v>
      </c>
      <c r="J217" s="82">
        <v>1926.6</v>
      </c>
      <c r="K217" s="56">
        <f t="shared" si="27"/>
        <v>4.781255213186799E-06</v>
      </c>
      <c r="L217" s="85">
        <f t="shared" si="29"/>
        <v>83073.4</v>
      </c>
    </row>
    <row r="218" spans="1:12" ht="15">
      <c r="A218" s="52" t="s">
        <v>106</v>
      </c>
      <c r="B218" s="53" t="s">
        <v>108</v>
      </c>
      <c r="C218" s="82">
        <v>10000000</v>
      </c>
      <c r="D218" s="82">
        <v>10000000</v>
      </c>
      <c r="E218" s="82">
        <f>F218-0</f>
        <v>0</v>
      </c>
      <c r="F218" s="82">
        <v>0</v>
      </c>
      <c r="G218" s="56">
        <f t="shared" si="26"/>
        <v>0</v>
      </c>
      <c r="H218" s="82">
        <f t="shared" si="28"/>
        <v>10000000</v>
      </c>
      <c r="I218" s="82">
        <f>J218-0</f>
        <v>0</v>
      </c>
      <c r="J218" s="82">
        <v>0</v>
      </c>
      <c r="K218" s="56">
        <f t="shared" si="27"/>
        <v>0</v>
      </c>
      <c r="L218" s="85">
        <f t="shared" si="29"/>
        <v>10000000</v>
      </c>
    </row>
    <row r="219" spans="1:12" ht="15">
      <c r="A219" s="52" t="s">
        <v>135</v>
      </c>
      <c r="B219" s="53" t="s">
        <v>136</v>
      </c>
      <c r="C219" s="54">
        <v>0</v>
      </c>
      <c r="D219" s="82">
        <v>0</v>
      </c>
      <c r="E219" s="54">
        <f aca="true" t="shared" si="31" ref="E219:E228">F219-0</f>
        <v>0</v>
      </c>
      <c r="F219" s="54">
        <v>0</v>
      </c>
      <c r="G219" s="56">
        <f t="shared" si="26"/>
        <v>0</v>
      </c>
      <c r="H219" s="54">
        <f t="shared" si="28"/>
        <v>0</v>
      </c>
      <c r="I219" s="82">
        <f t="shared" si="30"/>
        <v>0</v>
      </c>
      <c r="J219" s="54">
        <v>0</v>
      </c>
      <c r="K219" s="56">
        <f t="shared" si="27"/>
        <v>0</v>
      </c>
      <c r="L219" s="85">
        <f t="shared" si="29"/>
        <v>0</v>
      </c>
    </row>
    <row r="220" spans="1:12" ht="15">
      <c r="A220" s="52" t="s">
        <v>96</v>
      </c>
      <c r="B220" s="53" t="s">
        <v>102</v>
      </c>
      <c r="C220" s="82">
        <v>175839</v>
      </c>
      <c r="D220" s="82">
        <v>125839</v>
      </c>
      <c r="E220" s="54">
        <f>F220-1530.3</f>
        <v>0</v>
      </c>
      <c r="F220" s="54">
        <v>1530.3</v>
      </c>
      <c r="G220" s="56">
        <f t="shared" si="26"/>
        <v>3.0380916874145877E-06</v>
      </c>
      <c r="H220" s="82">
        <f t="shared" si="28"/>
        <v>124308.7</v>
      </c>
      <c r="I220" s="82">
        <f>J220-1530.3</f>
        <v>0</v>
      </c>
      <c r="J220" s="54">
        <v>1530.3</v>
      </c>
      <c r="K220" s="56">
        <f t="shared" si="27"/>
        <v>3.7977550361983584E-06</v>
      </c>
      <c r="L220" s="85">
        <f t="shared" si="29"/>
        <v>124308.7</v>
      </c>
    </row>
    <row r="221" spans="1:12" ht="15">
      <c r="A221" s="52" t="s">
        <v>155</v>
      </c>
      <c r="B221" s="53" t="s">
        <v>156</v>
      </c>
      <c r="C221" s="54">
        <v>0</v>
      </c>
      <c r="D221" s="82">
        <v>0</v>
      </c>
      <c r="E221" s="54">
        <f t="shared" si="31"/>
        <v>0</v>
      </c>
      <c r="F221" s="54">
        <v>0</v>
      </c>
      <c r="G221" s="56">
        <f t="shared" si="26"/>
        <v>0</v>
      </c>
      <c r="H221" s="82">
        <f t="shared" si="28"/>
        <v>0</v>
      </c>
      <c r="I221" s="82">
        <f t="shared" si="30"/>
        <v>0</v>
      </c>
      <c r="J221" s="54">
        <v>0</v>
      </c>
      <c r="K221" s="56">
        <f t="shared" si="27"/>
        <v>0</v>
      </c>
      <c r="L221" s="85">
        <f t="shared" si="29"/>
        <v>0</v>
      </c>
    </row>
    <row r="222" spans="1:12" ht="15">
      <c r="A222" s="52" t="s">
        <v>166</v>
      </c>
      <c r="B222" s="53" t="s">
        <v>167</v>
      </c>
      <c r="C222" s="54">
        <v>0</v>
      </c>
      <c r="D222" s="82">
        <v>0</v>
      </c>
      <c r="E222" s="54">
        <f t="shared" si="31"/>
        <v>0</v>
      </c>
      <c r="F222" s="54">
        <v>0</v>
      </c>
      <c r="G222" s="56">
        <f t="shared" si="26"/>
        <v>0</v>
      </c>
      <c r="H222" s="82">
        <f t="shared" si="28"/>
        <v>0</v>
      </c>
      <c r="I222" s="82">
        <f t="shared" si="30"/>
        <v>0</v>
      </c>
      <c r="J222" s="54">
        <v>0</v>
      </c>
      <c r="K222" s="56">
        <f t="shared" si="27"/>
        <v>0</v>
      </c>
      <c r="L222" s="85">
        <f t="shared" si="29"/>
        <v>0</v>
      </c>
    </row>
    <row r="223" spans="1:13" ht="15">
      <c r="A223" s="52" t="s">
        <v>168</v>
      </c>
      <c r="B223" s="53" t="s">
        <v>169</v>
      </c>
      <c r="C223" s="54">
        <v>0</v>
      </c>
      <c r="D223" s="82">
        <v>0</v>
      </c>
      <c r="E223" s="54">
        <f t="shared" si="31"/>
        <v>0</v>
      </c>
      <c r="F223" s="54">
        <v>0</v>
      </c>
      <c r="G223" s="56">
        <f t="shared" si="26"/>
        <v>0</v>
      </c>
      <c r="H223" s="82">
        <f t="shared" si="28"/>
        <v>0</v>
      </c>
      <c r="I223" s="82">
        <f t="shared" si="30"/>
        <v>0</v>
      </c>
      <c r="J223" s="54">
        <v>0</v>
      </c>
      <c r="K223" s="56">
        <f t="shared" si="27"/>
        <v>0</v>
      </c>
      <c r="L223" s="85">
        <f t="shared" si="29"/>
        <v>0</v>
      </c>
      <c r="M223"/>
    </row>
    <row r="224" spans="1:13" ht="15">
      <c r="A224" s="52" t="s">
        <v>170</v>
      </c>
      <c r="B224" s="53" t="s">
        <v>171</v>
      </c>
      <c r="C224" s="82">
        <v>60001</v>
      </c>
      <c r="D224" s="82">
        <v>60001</v>
      </c>
      <c r="E224" s="54">
        <f t="shared" si="31"/>
        <v>0</v>
      </c>
      <c r="F224" s="54">
        <v>0</v>
      </c>
      <c r="G224" s="56">
        <f t="shared" si="26"/>
        <v>0</v>
      </c>
      <c r="H224" s="82">
        <f t="shared" si="28"/>
        <v>60001</v>
      </c>
      <c r="I224" s="82">
        <f t="shared" si="30"/>
        <v>0</v>
      </c>
      <c r="J224" s="54">
        <v>0</v>
      </c>
      <c r="K224" s="56">
        <f t="shared" si="27"/>
        <v>0</v>
      </c>
      <c r="L224" s="85">
        <f t="shared" si="29"/>
        <v>60001</v>
      </c>
      <c r="M224"/>
    </row>
    <row r="225" spans="1:13" ht="15">
      <c r="A225" s="52" t="s">
        <v>172</v>
      </c>
      <c r="B225" s="53" t="s">
        <v>173</v>
      </c>
      <c r="C225" s="82">
        <v>3838549</v>
      </c>
      <c r="D225" s="82">
        <v>5945506.25</v>
      </c>
      <c r="E225" s="82">
        <f>F225-85011.88</f>
        <v>1069771.6800000002</v>
      </c>
      <c r="F225" s="82">
        <v>1154783.56</v>
      </c>
      <c r="G225" s="56">
        <f t="shared" si="26"/>
        <v>0.0022925820652153336</v>
      </c>
      <c r="H225" s="82">
        <f t="shared" si="28"/>
        <v>4790722.6899999995</v>
      </c>
      <c r="I225" s="82">
        <f>J225-80374.28</f>
        <v>264046.88</v>
      </c>
      <c r="J225" s="54">
        <v>344421.16</v>
      </c>
      <c r="K225" s="56">
        <f t="shared" si="27"/>
        <v>0.0008547521368119197</v>
      </c>
      <c r="L225" s="85">
        <f t="shared" si="29"/>
        <v>5601085.09</v>
      </c>
      <c r="M225"/>
    </row>
    <row r="226" spans="1:13" ht="15">
      <c r="A226" s="52" t="s">
        <v>270</v>
      </c>
      <c r="B226" s="53" t="s">
        <v>272</v>
      </c>
      <c r="C226" s="82">
        <v>29288911</v>
      </c>
      <c r="D226" s="82">
        <v>30675651.79</v>
      </c>
      <c r="E226" s="82">
        <f>F226-1311964.62</f>
        <v>570729.5599999998</v>
      </c>
      <c r="F226" s="82">
        <v>1882694.18</v>
      </c>
      <c r="G226" s="56">
        <f t="shared" si="26"/>
        <v>0.0037376968817890753</v>
      </c>
      <c r="H226" s="82">
        <f t="shared" si="28"/>
        <v>28792957.61</v>
      </c>
      <c r="I226" s="82">
        <f>J226-551918.76</f>
        <v>1209881.95</v>
      </c>
      <c r="J226" s="82">
        <v>1761800.71</v>
      </c>
      <c r="K226" s="56">
        <f t="shared" si="27"/>
        <v>0.004372271789309511</v>
      </c>
      <c r="L226" s="57">
        <f t="shared" si="29"/>
        <v>28913851.08</v>
      </c>
      <c r="M226"/>
    </row>
    <row r="227" spans="1:13" ht="15">
      <c r="A227" s="52" t="s">
        <v>271</v>
      </c>
      <c r="B227" s="53" t="s">
        <v>273</v>
      </c>
      <c r="C227" s="82">
        <v>26423874</v>
      </c>
      <c r="D227" s="82">
        <v>53984221</v>
      </c>
      <c r="E227" s="82">
        <f>F227-10930206.03</f>
        <v>7947744.470000001</v>
      </c>
      <c r="F227" s="82">
        <v>18877950.5</v>
      </c>
      <c r="G227" s="56">
        <f t="shared" si="26"/>
        <v>0.037478235959925534</v>
      </c>
      <c r="H227" s="82">
        <f t="shared" si="28"/>
        <v>35106270.5</v>
      </c>
      <c r="I227" s="82">
        <f>J227-6886178.87</f>
        <v>10010859.66</v>
      </c>
      <c r="J227" s="82">
        <v>16897038.53</v>
      </c>
      <c r="K227" s="56">
        <f t="shared" si="27"/>
        <v>0.04193348570485867</v>
      </c>
      <c r="L227" s="57">
        <f t="shared" si="29"/>
        <v>37087182.47</v>
      </c>
      <c r="M227"/>
    </row>
    <row r="228" spans="1:13" ht="15">
      <c r="A228" s="52" t="s">
        <v>244</v>
      </c>
      <c r="B228" s="53" t="s">
        <v>245</v>
      </c>
      <c r="C228" s="54">
        <v>0</v>
      </c>
      <c r="D228" s="82">
        <v>0</v>
      </c>
      <c r="E228" s="54">
        <f t="shared" si="31"/>
        <v>0</v>
      </c>
      <c r="F228" s="54">
        <v>0</v>
      </c>
      <c r="G228" s="56">
        <f t="shared" si="26"/>
        <v>0</v>
      </c>
      <c r="H228" s="54">
        <f t="shared" si="28"/>
        <v>0</v>
      </c>
      <c r="I228" s="82">
        <f t="shared" si="30"/>
        <v>0</v>
      </c>
      <c r="J228" s="54">
        <v>0</v>
      </c>
      <c r="K228" s="56">
        <f t="shared" si="27"/>
        <v>0</v>
      </c>
      <c r="L228" s="57">
        <f t="shared" si="29"/>
        <v>0</v>
      </c>
      <c r="M228"/>
    </row>
    <row r="229" spans="1:13" ht="15">
      <c r="A229" s="52" t="s">
        <v>71</v>
      </c>
      <c r="B229" s="53" t="s">
        <v>79</v>
      </c>
      <c r="C229" s="54">
        <v>120862010</v>
      </c>
      <c r="D229" s="82">
        <v>221718316.43</v>
      </c>
      <c r="E229" s="54">
        <f>F229-78131716.54</f>
        <v>14470977.159999996</v>
      </c>
      <c r="F229" s="54">
        <v>92602693.7</v>
      </c>
      <c r="G229" s="56">
        <f t="shared" si="26"/>
        <v>0.18384334703141159</v>
      </c>
      <c r="H229" s="54">
        <f t="shared" si="28"/>
        <v>129115622.73</v>
      </c>
      <c r="I229" s="82">
        <f>J229-23635246.84</f>
        <v>18276959.470000003</v>
      </c>
      <c r="J229" s="82">
        <v>41912206.31</v>
      </c>
      <c r="K229" s="56">
        <f t="shared" si="27"/>
        <v>0.10401378330522587</v>
      </c>
      <c r="L229" s="57">
        <f t="shared" si="29"/>
        <v>179806110.12</v>
      </c>
      <c r="M229"/>
    </row>
    <row r="230" spans="1:13" ht="14.25">
      <c r="A230" s="47" t="s">
        <v>175</v>
      </c>
      <c r="B230" s="50" t="s">
        <v>174</v>
      </c>
      <c r="C230" s="81">
        <f>SUM(C231:C233)</f>
        <v>52666835</v>
      </c>
      <c r="D230" s="81">
        <f>SUM(D231:D233)</f>
        <v>126341392.7</v>
      </c>
      <c r="E230" s="81">
        <f>SUM(E231:E233)</f>
        <v>15100457.969999999</v>
      </c>
      <c r="F230" s="81">
        <f>SUM(F231:F233)</f>
        <v>35209302.3</v>
      </c>
      <c r="G230" s="51">
        <f aca="true" t="shared" si="32" ref="G230:G248">(F230/$F$296)*100</f>
        <v>0.06990073099215663</v>
      </c>
      <c r="H230" s="81">
        <f t="shared" si="28"/>
        <v>91132090.4</v>
      </c>
      <c r="I230" s="81">
        <f>SUM(I231:I233)</f>
        <v>17675677.869999997</v>
      </c>
      <c r="J230" s="81">
        <f>SUM(J231:J233)</f>
        <v>31276507.08</v>
      </c>
      <c r="K230" s="51">
        <f aca="true" t="shared" si="33" ref="K230:K261">(J230/$J$296)*100</f>
        <v>0.07761910231834518</v>
      </c>
      <c r="L230" s="84">
        <f t="shared" si="29"/>
        <v>95064885.62</v>
      </c>
      <c r="M230"/>
    </row>
    <row r="231" spans="1:12" ht="15">
      <c r="A231" s="52" t="s">
        <v>28</v>
      </c>
      <c r="B231" s="53" t="s">
        <v>33</v>
      </c>
      <c r="C231" s="82">
        <v>15765310</v>
      </c>
      <c r="D231" s="82">
        <v>23500487.34</v>
      </c>
      <c r="E231" s="82">
        <f>F231-6139869.74</f>
        <v>4395198.869999999</v>
      </c>
      <c r="F231" s="82">
        <v>10535068.61</v>
      </c>
      <c r="G231" s="56">
        <f t="shared" si="32"/>
        <v>0.020915182885959192</v>
      </c>
      <c r="H231" s="82">
        <f t="shared" si="28"/>
        <v>12965418.73</v>
      </c>
      <c r="I231" s="82">
        <f>J231-5482669.05</f>
        <v>3057462.55</v>
      </c>
      <c r="J231" s="82">
        <v>8540131.6</v>
      </c>
      <c r="K231" s="56">
        <f t="shared" si="33"/>
        <v>0.021194097754490458</v>
      </c>
      <c r="L231" s="85">
        <f t="shared" si="29"/>
        <v>14960355.74</v>
      </c>
    </row>
    <row r="232" spans="1:12" ht="15">
      <c r="A232" s="52" t="s">
        <v>139</v>
      </c>
      <c r="B232" s="53" t="s">
        <v>140</v>
      </c>
      <c r="C232" s="82">
        <v>4800000</v>
      </c>
      <c r="D232" s="82">
        <v>4800000</v>
      </c>
      <c r="E232" s="82">
        <f>F232-217600.91</f>
        <v>-88961.2</v>
      </c>
      <c r="F232" s="82">
        <v>128639.71</v>
      </c>
      <c r="G232" s="56">
        <f t="shared" si="32"/>
        <v>0.00025538733164897286</v>
      </c>
      <c r="H232" s="82">
        <f t="shared" si="28"/>
        <v>4671360.29</v>
      </c>
      <c r="I232" s="82">
        <f>J232-50399.56</f>
        <v>57231.68000000001</v>
      </c>
      <c r="J232" s="82">
        <v>107631.24</v>
      </c>
      <c r="K232" s="56">
        <f t="shared" si="33"/>
        <v>0.00026710911831815613</v>
      </c>
      <c r="L232" s="85">
        <f t="shared" si="29"/>
        <v>4692368.76</v>
      </c>
    </row>
    <row r="233" spans="1:12" ht="15">
      <c r="A233" s="52" t="s">
        <v>176</v>
      </c>
      <c r="B233" s="53" t="s">
        <v>177</v>
      </c>
      <c r="C233" s="82">
        <v>32101525</v>
      </c>
      <c r="D233" s="82">
        <v>98040905.36</v>
      </c>
      <c r="E233" s="82">
        <f>F233-13751373.68</f>
        <v>10794220.3</v>
      </c>
      <c r="F233" s="82">
        <v>24545593.98</v>
      </c>
      <c r="G233" s="56">
        <f t="shared" si="32"/>
        <v>0.048730160774548475</v>
      </c>
      <c r="H233" s="82">
        <f t="shared" si="28"/>
        <v>73495311.38</v>
      </c>
      <c r="I233" s="82">
        <f>J233-8067760.6</f>
        <v>14560983.639999999</v>
      </c>
      <c r="J233" s="82">
        <v>22628744.24</v>
      </c>
      <c r="K233" s="56">
        <f t="shared" si="33"/>
        <v>0.056157895445536565</v>
      </c>
      <c r="L233" s="85">
        <f t="shared" si="29"/>
        <v>75412161.12</v>
      </c>
    </row>
    <row r="234" spans="1:12" ht="14.25">
      <c r="A234" s="47" t="s">
        <v>178</v>
      </c>
      <c r="B234" s="50" t="s">
        <v>179</v>
      </c>
      <c r="C234" s="81">
        <f>SUM(C235:C248)</f>
        <v>134826201</v>
      </c>
      <c r="D234" s="81">
        <f>SUM(D235:D248)</f>
        <v>607466409.8</v>
      </c>
      <c r="E234" s="81">
        <f>SUM(E235:E248)</f>
        <v>135810157.09000003</v>
      </c>
      <c r="F234" s="81">
        <f>SUM(F235:F248)</f>
        <v>366328539.5</v>
      </c>
      <c r="G234" s="51">
        <f t="shared" si="32"/>
        <v>0.7272689608035524</v>
      </c>
      <c r="H234" s="81">
        <f t="shared" si="28"/>
        <v>241137870.29999995</v>
      </c>
      <c r="I234" s="81">
        <f>SUM(I235:I248)</f>
        <v>126865770.18</v>
      </c>
      <c r="J234" s="81">
        <f>SUM(J235:J248)</f>
        <v>334374845.18</v>
      </c>
      <c r="K234" s="51">
        <f t="shared" si="33"/>
        <v>0.8298201347842852</v>
      </c>
      <c r="L234" s="84">
        <f t="shared" si="29"/>
        <v>273091564.61999995</v>
      </c>
    </row>
    <row r="235" spans="1:12" ht="15">
      <c r="A235" s="52" t="s">
        <v>28</v>
      </c>
      <c r="B235" s="53" t="s">
        <v>33</v>
      </c>
      <c r="C235" s="82">
        <v>97368520</v>
      </c>
      <c r="D235" s="82">
        <v>114063056.8</v>
      </c>
      <c r="E235" s="82">
        <f>F235-34571309.35</f>
        <v>19286210.22</v>
      </c>
      <c r="F235" s="82">
        <v>53857519.57</v>
      </c>
      <c r="G235" s="56">
        <f t="shared" si="32"/>
        <v>0.10692287950753802</v>
      </c>
      <c r="H235" s="82">
        <f t="shared" si="28"/>
        <v>60205537.23</v>
      </c>
      <c r="I235" s="82">
        <f>J235-29190891.9</f>
        <v>20018794.490000002</v>
      </c>
      <c r="J235" s="82">
        <v>49209686.39</v>
      </c>
      <c r="K235" s="56">
        <f t="shared" si="33"/>
        <v>0.12212398504696095</v>
      </c>
      <c r="L235" s="85">
        <f t="shared" si="29"/>
        <v>64853370.41</v>
      </c>
    </row>
    <row r="236" spans="1:13" ht="15">
      <c r="A236" s="52" t="s">
        <v>232</v>
      </c>
      <c r="B236" s="53" t="s">
        <v>231</v>
      </c>
      <c r="C236" s="82">
        <v>40000</v>
      </c>
      <c r="D236" s="82">
        <v>40000</v>
      </c>
      <c r="E236" s="82">
        <f>F236-0</f>
        <v>0</v>
      </c>
      <c r="F236" s="82">
        <v>0</v>
      </c>
      <c r="G236" s="56">
        <f t="shared" si="32"/>
        <v>0</v>
      </c>
      <c r="H236" s="82">
        <f t="shared" si="28"/>
        <v>40000</v>
      </c>
      <c r="I236" s="82">
        <f>J236-0</f>
        <v>0</v>
      </c>
      <c r="J236" s="82">
        <v>0</v>
      </c>
      <c r="K236" s="56">
        <f t="shared" si="33"/>
        <v>0</v>
      </c>
      <c r="L236" s="85">
        <f t="shared" si="29"/>
        <v>40000</v>
      </c>
      <c r="M236"/>
    </row>
    <row r="237" spans="1:13" ht="15">
      <c r="A237" s="52" t="s">
        <v>49</v>
      </c>
      <c r="B237" s="53" t="s">
        <v>56</v>
      </c>
      <c r="C237" s="82">
        <v>303821</v>
      </c>
      <c r="D237" s="82">
        <v>153484.66</v>
      </c>
      <c r="E237" s="82">
        <f>F237-0</f>
        <v>0</v>
      </c>
      <c r="F237" s="82">
        <v>0</v>
      </c>
      <c r="G237" s="56">
        <f t="shared" si="32"/>
        <v>0</v>
      </c>
      <c r="H237" s="82">
        <f t="shared" si="28"/>
        <v>153484.66</v>
      </c>
      <c r="I237" s="82">
        <f>J237-0</f>
        <v>0</v>
      </c>
      <c r="J237" s="82">
        <v>0</v>
      </c>
      <c r="K237" s="56">
        <f t="shared" si="33"/>
        <v>0</v>
      </c>
      <c r="L237" s="85">
        <f t="shared" si="29"/>
        <v>153484.66</v>
      </c>
      <c r="M237"/>
    </row>
    <row r="238" spans="1:13" ht="15">
      <c r="A238" s="52" t="s">
        <v>50</v>
      </c>
      <c r="B238" s="53" t="s">
        <v>57</v>
      </c>
      <c r="C238" s="82">
        <v>1724045</v>
      </c>
      <c r="D238" s="82">
        <v>1823585</v>
      </c>
      <c r="E238" s="82">
        <f aca="true" t="shared" si="34" ref="E238:E247">F238-0</f>
        <v>85320</v>
      </c>
      <c r="F238" s="82">
        <v>85320</v>
      </c>
      <c r="G238" s="56">
        <f t="shared" si="32"/>
        <v>0.00016938507663217186</v>
      </c>
      <c r="H238" s="82">
        <f t="shared" si="28"/>
        <v>1738265</v>
      </c>
      <c r="I238" s="82">
        <f aca="true" t="shared" si="35" ref="I238:I247">J238-0</f>
        <v>0</v>
      </c>
      <c r="J238" s="82">
        <v>0</v>
      </c>
      <c r="K238" s="56">
        <f t="shared" si="33"/>
        <v>0</v>
      </c>
      <c r="L238" s="85">
        <f t="shared" si="29"/>
        <v>1823585</v>
      </c>
      <c r="M238"/>
    </row>
    <row r="239" spans="1:13" ht="15">
      <c r="A239" s="52" t="s">
        <v>160</v>
      </c>
      <c r="B239" s="53" t="s">
        <v>161</v>
      </c>
      <c r="C239" s="82">
        <v>0</v>
      </c>
      <c r="D239" s="82">
        <v>0</v>
      </c>
      <c r="E239" s="82">
        <f t="shared" si="34"/>
        <v>0</v>
      </c>
      <c r="F239" s="82">
        <v>0</v>
      </c>
      <c r="G239" s="56">
        <f t="shared" si="32"/>
        <v>0</v>
      </c>
      <c r="H239" s="82">
        <f>D239-F239</f>
        <v>0</v>
      </c>
      <c r="I239" s="82">
        <f t="shared" si="35"/>
        <v>0</v>
      </c>
      <c r="J239" s="82">
        <v>0</v>
      </c>
      <c r="K239" s="56">
        <f t="shared" si="33"/>
        <v>0</v>
      </c>
      <c r="L239" s="85">
        <f>D239-J239</f>
        <v>0</v>
      </c>
      <c r="M239"/>
    </row>
    <row r="240" spans="1:13" ht="15">
      <c r="A240" s="52" t="s">
        <v>97</v>
      </c>
      <c r="B240" s="53" t="s">
        <v>241</v>
      </c>
      <c r="C240" s="82">
        <v>0</v>
      </c>
      <c r="D240" s="82">
        <v>0</v>
      </c>
      <c r="E240" s="82">
        <f>F240-0</f>
        <v>0</v>
      </c>
      <c r="F240" s="82">
        <v>0</v>
      </c>
      <c r="G240" s="56">
        <f t="shared" si="32"/>
        <v>0</v>
      </c>
      <c r="H240" s="82">
        <f>D240-F240</f>
        <v>0</v>
      </c>
      <c r="I240" s="82">
        <f>J240-0</f>
        <v>0</v>
      </c>
      <c r="J240" s="82">
        <v>0</v>
      </c>
      <c r="K240" s="56">
        <f t="shared" si="33"/>
        <v>0</v>
      </c>
      <c r="L240" s="85">
        <f>D240-J240</f>
        <v>0</v>
      </c>
      <c r="M240"/>
    </row>
    <row r="241" spans="1:13" ht="15">
      <c r="A241" s="52" t="s">
        <v>180</v>
      </c>
      <c r="B241" s="53" t="s">
        <v>181</v>
      </c>
      <c r="C241" s="82">
        <v>22087530</v>
      </c>
      <c r="D241" s="82">
        <v>306744784.8</v>
      </c>
      <c r="E241" s="82">
        <f>F241-24643727.86</f>
        <v>111051610.27</v>
      </c>
      <c r="F241" s="82">
        <v>135695338.13</v>
      </c>
      <c r="G241" s="56">
        <f t="shared" si="32"/>
        <v>0.2693948106865743</v>
      </c>
      <c r="H241" s="82">
        <f>D241-F241</f>
        <v>171049446.67000002</v>
      </c>
      <c r="I241" s="82">
        <f>J241-7020039.32</f>
        <v>101792406.4</v>
      </c>
      <c r="J241" s="82">
        <v>108812445.72</v>
      </c>
      <c r="K241" s="56">
        <f t="shared" si="33"/>
        <v>0.27004052390654815</v>
      </c>
      <c r="L241" s="85">
        <f>D241-J241</f>
        <v>197932339.08</v>
      </c>
      <c r="M241"/>
    </row>
    <row r="242" spans="1:13" ht="15">
      <c r="A242" s="52" t="s">
        <v>182</v>
      </c>
      <c r="B242" s="53" t="s">
        <v>183</v>
      </c>
      <c r="C242" s="82">
        <v>72468</v>
      </c>
      <c r="D242" s="82">
        <v>3000</v>
      </c>
      <c r="E242" s="82">
        <f>F242-0</f>
        <v>0</v>
      </c>
      <c r="F242" s="82">
        <v>0</v>
      </c>
      <c r="G242" s="56">
        <f t="shared" si="32"/>
        <v>0</v>
      </c>
      <c r="H242" s="82">
        <f>D242-F242</f>
        <v>3000</v>
      </c>
      <c r="I242" s="82">
        <f>J242-0</f>
        <v>0</v>
      </c>
      <c r="J242" s="82">
        <v>0</v>
      </c>
      <c r="K242" s="56">
        <f t="shared" si="33"/>
        <v>0</v>
      </c>
      <c r="L242" s="85">
        <f>D242-J242</f>
        <v>3000</v>
      </c>
      <c r="M242"/>
    </row>
    <row r="243" spans="1:13" ht="15">
      <c r="A243" s="52" t="s">
        <v>184</v>
      </c>
      <c r="B243" s="53" t="s">
        <v>250</v>
      </c>
      <c r="C243" s="82">
        <v>15000</v>
      </c>
      <c r="D243" s="82">
        <v>165336.34</v>
      </c>
      <c r="E243" s="82">
        <f>F243-0</f>
        <v>148000</v>
      </c>
      <c r="F243" s="82">
        <v>148000</v>
      </c>
      <c r="G243" s="56">
        <f t="shared" si="32"/>
        <v>0.0002938231521514467</v>
      </c>
      <c r="H243" s="82">
        <f t="shared" si="28"/>
        <v>17336.339999999997</v>
      </c>
      <c r="I243" s="82">
        <f>J243-0</f>
        <v>0</v>
      </c>
      <c r="J243" s="82">
        <v>0</v>
      </c>
      <c r="K243" s="56">
        <f t="shared" si="33"/>
        <v>0</v>
      </c>
      <c r="L243" s="85">
        <f t="shared" si="29"/>
        <v>165336.34</v>
      </c>
      <c r="M243"/>
    </row>
    <row r="244" spans="1:13" ht="15">
      <c r="A244" s="52" t="s">
        <v>191</v>
      </c>
      <c r="B244" s="53" t="s">
        <v>192</v>
      </c>
      <c r="C244" s="82">
        <v>13209817</v>
      </c>
      <c r="D244" s="82">
        <v>184473162.2</v>
      </c>
      <c r="E244" s="82">
        <f>F244-171303345.2</f>
        <v>5239016.600000024</v>
      </c>
      <c r="F244" s="82">
        <v>176542361.8</v>
      </c>
      <c r="G244" s="56">
        <f t="shared" si="32"/>
        <v>0.3504880623806565</v>
      </c>
      <c r="H244" s="82">
        <f t="shared" si="28"/>
        <v>7930800.399999976</v>
      </c>
      <c r="I244" s="82">
        <f>J244-171298143.78</f>
        <v>5054569.289999992</v>
      </c>
      <c r="J244" s="82">
        <v>176352713.07</v>
      </c>
      <c r="K244" s="56">
        <f t="shared" si="33"/>
        <v>0.4376556258307761</v>
      </c>
      <c r="L244" s="85">
        <f t="shared" si="29"/>
        <v>8120449.129999995</v>
      </c>
      <c r="M244"/>
    </row>
    <row r="245" spans="1:13" ht="15">
      <c r="A245" s="52" t="s">
        <v>185</v>
      </c>
      <c r="B245" s="53" t="s">
        <v>186</v>
      </c>
      <c r="C245" s="82">
        <v>0</v>
      </c>
      <c r="D245" s="82">
        <v>0</v>
      </c>
      <c r="E245" s="82">
        <f t="shared" si="34"/>
        <v>0</v>
      </c>
      <c r="F245" s="82">
        <v>0</v>
      </c>
      <c r="G245" s="56">
        <f t="shared" si="32"/>
        <v>0</v>
      </c>
      <c r="H245" s="82">
        <f t="shared" si="28"/>
        <v>0</v>
      </c>
      <c r="I245" s="82">
        <f t="shared" si="35"/>
        <v>0</v>
      </c>
      <c r="J245" s="82">
        <v>0</v>
      </c>
      <c r="K245" s="56">
        <f t="shared" si="33"/>
        <v>0</v>
      </c>
      <c r="L245" s="85">
        <f t="shared" si="29"/>
        <v>0</v>
      </c>
      <c r="M245"/>
    </row>
    <row r="246" spans="1:12" ht="15">
      <c r="A246" s="52" t="s">
        <v>187</v>
      </c>
      <c r="B246" s="53" t="s">
        <v>188</v>
      </c>
      <c r="C246" s="82">
        <v>0</v>
      </c>
      <c r="D246" s="82">
        <v>0</v>
      </c>
      <c r="E246" s="82">
        <f t="shared" si="34"/>
        <v>0</v>
      </c>
      <c r="F246" s="82">
        <v>0</v>
      </c>
      <c r="G246" s="56">
        <f t="shared" si="32"/>
        <v>0</v>
      </c>
      <c r="H246" s="82">
        <f>D246-F246</f>
        <v>0</v>
      </c>
      <c r="I246" s="82">
        <f t="shared" si="35"/>
        <v>0</v>
      </c>
      <c r="J246" s="82">
        <v>0</v>
      </c>
      <c r="K246" s="56">
        <f t="shared" si="33"/>
        <v>0</v>
      </c>
      <c r="L246" s="85">
        <f>D246-J246</f>
        <v>0</v>
      </c>
    </row>
    <row r="247" spans="1:12" ht="15">
      <c r="A247" s="52" t="s">
        <v>253</v>
      </c>
      <c r="B247" s="53" t="s">
        <v>254</v>
      </c>
      <c r="C247" s="82">
        <v>0</v>
      </c>
      <c r="D247" s="82">
        <v>0</v>
      </c>
      <c r="E247" s="82">
        <f t="shared" si="34"/>
        <v>0</v>
      </c>
      <c r="F247" s="82">
        <v>0</v>
      </c>
      <c r="G247" s="56">
        <f t="shared" si="32"/>
        <v>0</v>
      </c>
      <c r="H247" s="82">
        <f t="shared" si="28"/>
        <v>0</v>
      </c>
      <c r="I247" s="82">
        <f t="shared" si="35"/>
        <v>0</v>
      </c>
      <c r="J247" s="82">
        <v>0</v>
      </c>
      <c r="K247" s="56">
        <f t="shared" si="33"/>
        <v>0</v>
      </c>
      <c r="L247" s="85">
        <f t="shared" si="29"/>
        <v>0</v>
      </c>
    </row>
    <row r="248" spans="1:12" ht="15">
      <c r="A248" s="52" t="s">
        <v>276</v>
      </c>
      <c r="B248" s="53" t="s">
        <v>277</v>
      </c>
      <c r="C248" s="82">
        <v>5000</v>
      </c>
      <c r="D248" s="98">
        <v>0</v>
      </c>
      <c r="E248" s="98">
        <f>F248-0</f>
        <v>0</v>
      </c>
      <c r="F248" s="98">
        <v>0</v>
      </c>
      <c r="G248" s="56">
        <f t="shared" si="32"/>
        <v>0</v>
      </c>
      <c r="H248" s="82">
        <f t="shared" si="28"/>
        <v>0</v>
      </c>
      <c r="I248" s="82">
        <f>J248-0</f>
        <v>0</v>
      </c>
      <c r="J248" s="82">
        <v>0</v>
      </c>
      <c r="K248" s="56">
        <f t="shared" si="33"/>
        <v>0</v>
      </c>
      <c r="L248" s="85">
        <f t="shared" si="29"/>
        <v>0</v>
      </c>
    </row>
    <row r="249" spans="1:12" ht="14.25">
      <c r="A249" s="47" t="s">
        <v>189</v>
      </c>
      <c r="B249" s="50" t="s">
        <v>190</v>
      </c>
      <c r="C249" s="81">
        <f>SUM(C250:C259)</f>
        <v>574631811</v>
      </c>
      <c r="D249" s="81">
        <f>SUM(D250:D259)</f>
        <v>832389547.35</v>
      </c>
      <c r="E249" s="81">
        <f>SUM(E250:E259)</f>
        <v>48358813.83</v>
      </c>
      <c r="F249" s="81">
        <f>SUM(F250:F259)</f>
        <v>148985599.46</v>
      </c>
      <c r="G249" s="51">
        <f aca="true" t="shared" si="36" ref="G249:G282">(F249/$F$296)*100</f>
        <v>0.2957798544493925</v>
      </c>
      <c r="H249" s="81">
        <f t="shared" si="28"/>
        <v>683403947.89</v>
      </c>
      <c r="I249" s="81">
        <f>SUM(I250:I259)</f>
        <v>50038032.51999999</v>
      </c>
      <c r="J249" s="81">
        <f>SUM(J250:J259)</f>
        <v>135056801.32</v>
      </c>
      <c r="K249" s="51">
        <f t="shared" si="33"/>
        <v>0.33517130457156846</v>
      </c>
      <c r="L249" s="84">
        <f t="shared" si="29"/>
        <v>697332746.03</v>
      </c>
    </row>
    <row r="250" spans="1:12" ht="15">
      <c r="A250" s="52" t="s">
        <v>28</v>
      </c>
      <c r="B250" s="53" t="s">
        <v>33</v>
      </c>
      <c r="C250" s="82">
        <v>116904431</v>
      </c>
      <c r="D250" s="82">
        <v>120453751.11</v>
      </c>
      <c r="E250" s="82">
        <f>F250-34555504.29</f>
        <v>16731169.600000001</v>
      </c>
      <c r="F250" s="82">
        <v>51286673.89</v>
      </c>
      <c r="G250" s="56">
        <f t="shared" si="36"/>
        <v>0.10181900125488583</v>
      </c>
      <c r="H250" s="82">
        <f t="shared" si="28"/>
        <v>69167077.22</v>
      </c>
      <c r="I250" s="82">
        <f>J250-27992831.23</f>
        <v>17792868.749999996</v>
      </c>
      <c r="J250" s="82">
        <v>45785699.98</v>
      </c>
      <c r="K250" s="56">
        <f t="shared" si="33"/>
        <v>0.11362665665876762</v>
      </c>
      <c r="L250" s="85">
        <f t="shared" si="29"/>
        <v>74668051.13</v>
      </c>
    </row>
    <row r="251" spans="1:12" ht="15">
      <c r="A251" s="52" t="s">
        <v>39</v>
      </c>
      <c r="B251" s="53" t="s">
        <v>41</v>
      </c>
      <c r="C251" s="82">
        <v>10000</v>
      </c>
      <c r="D251" s="82">
        <v>10000</v>
      </c>
      <c r="E251" s="82">
        <f aca="true" t="shared" si="37" ref="E251:E257">F251-0</f>
        <v>0</v>
      </c>
      <c r="F251" s="82">
        <v>0</v>
      </c>
      <c r="G251" s="56">
        <f t="shared" si="36"/>
        <v>0</v>
      </c>
      <c r="H251" s="82">
        <f t="shared" si="28"/>
        <v>10000</v>
      </c>
      <c r="I251" s="82">
        <f aca="true" t="shared" si="38" ref="I251:I257">J251-0</f>
        <v>0</v>
      </c>
      <c r="J251" s="82">
        <v>0</v>
      </c>
      <c r="K251" s="56">
        <f t="shared" si="33"/>
        <v>0</v>
      </c>
      <c r="L251" s="85">
        <f t="shared" si="29"/>
        <v>10000</v>
      </c>
    </row>
    <row r="252" spans="1:12" ht="15">
      <c r="A252" s="52" t="s">
        <v>131</v>
      </c>
      <c r="B252" s="53" t="s">
        <v>132</v>
      </c>
      <c r="C252" s="82">
        <v>2365847</v>
      </c>
      <c r="D252" s="82">
        <v>2365847</v>
      </c>
      <c r="E252" s="82">
        <f>F252-0</f>
        <v>0</v>
      </c>
      <c r="F252" s="82">
        <v>0</v>
      </c>
      <c r="G252" s="56">
        <f t="shared" si="36"/>
        <v>0</v>
      </c>
      <c r="H252" s="82">
        <f>D252-F252</f>
        <v>2365847</v>
      </c>
      <c r="I252" s="82">
        <f>J252-0</f>
        <v>0</v>
      </c>
      <c r="J252" s="82">
        <v>0</v>
      </c>
      <c r="K252" s="56">
        <f t="shared" si="33"/>
        <v>0</v>
      </c>
      <c r="L252" s="85">
        <f>D252-J252</f>
        <v>2365847</v>
      </c>
    </row>
    <row r="253" spans="1:12" ht="15">
      <c r="A253" s="52" t="s">
        <v>83</v>
      </c>
      <c r="B253" s="53" t="s">
        <v>85</v>
      </c>
      <c r="C253" s="82">
        <v>4500000</v>
      </c>
      <c r="D253" s="82">
        <v>5348884.41</v>
      </c>
      <c r="E253" s="82">
        <f>F253-482914.77</f>
        <v>239838.33999999997</v>
      </c>
      <c r="F253" s="82">
        <v>722753.11</v>
      </c>
      <c r="G253" s="56">
        <f t="shared" si="36"/>
        <v>0.0014348756554558198</v>
      </c>
      <c r="H253" s="82">
        <f>D253-F253</f>
        <v>4626131.3</v>
      </c>
      <c r="I253" s="82">
        <f>J253-482914.77</f>
        <v>239838.33999999997</v>
      </c>
      <c r="J253" s="82">
        <v>722753.11</v>
      </c>
      <c r="K253" s="56">
        <f t="shared" si="33"/>
        <v>0.0017936608922632991</v>
      </c>
      <c r="L253" s="85">
        <f>D253-J253</f>
        <v>4626131.3</v>
      </c>
    </row>
    <row r="254" spans="1:12" ht="15">
      <c r="A254" s="52" t="s">
        <v>53</v>
      </c>
      <c r="B254" s="53" t="s">
        <v>60</v>
      </c>
      <c r="C254" s="82">
        <v>0</v>
      </c>
      <c r="D254" s="82">
        <v>0</v>
      </c>
      <c r="E254" s="82">
        <f t="shared" si="37"/>
        <v>0</v>
      </c>
      <c r="F254" s="82">
        <v>0</v>
      </c>
      <c r="G254" s="56">
        <f t="shared" si="36"/>
        <v>0</v>
      </c>
      <c r="H254" s="82">
        <f t="shared" si="28"/>
        <v>0</v>
      </c>
      <c r="I254" s="82">
        <f t="shared" si="38"/>
        <v>0</v>
      </c>
      <c r="J254" s="82">
        <v>0</v>
      </c>
      <c r="K254" s="56">
        <f t="shared" si="33"/>
        <v>0</v>
      </c>
      <c r="L254" s="85">
        <f t="shared" si="29"/>
        <v>0</v>
      </c>
    </row>
    <row r="255" spans="1:12" ht="15">
      <c r="A255" s="52" t="s">
        <v>191</v>
      </c>
      <c r="B255" s="53" t="s">
        <v>192</v>
      </c>
      <c r="C255" s="82">
        <v>14561738</v>
      </c>
      <c r="D255" s="82">
        <v>15109079.83</v>
      </c>
      <c r="E255" s="82">
        <f>F255-3910793.77</f>
        <v>1825373.5900000003</v>
      </c>
      <c r="F255" s="82">
        <v>5736167.36</v>
      </c>
      <c r="G255" s="56">
        <f t="shared" si="36"/>
        <v>0.011387964695834071</v>
      </c>
      <c r="H255" s="82">
        <f t="shared" si="28"/>
        <v>9372912.469999999</v>
      </c>
      <c r="I255" s="82">
        <f>J255-1979544.96</f>
        <v>1329424.33</v>
      </c>
      <c r="J255" s="82">
        <v>3308969.29</v>
      </c>
      <c r="K255" s="56">
        <f t="shared" si="33"/>
        <v>0.008211889685501671</v>
      </c>
      <c r="L255" s="85">
        <f t="shared" si="29"/>
        <v>11800110.54</v>
      </c>
    </row>
    <row r="256" spans="1:12" ht="15">
      <c r="A256" s="52" t="s">
        <v>244</v>
      </c>
      <c r="B256" s="53" t="s">
        <v>245</v>
      </c>
      <c r="C256" s="82">
        <v>0</v>
      </c>
      <c r="D256" s="82">
        <v>0</v>
      </c>
      <c r="E256" s="82">
        <f t="shared" si="37"/>
        <v>0</v>
      </c>
      <c r="F256" s="82">
        <v>0</v>
      </c>
      <c r="G256" s="56">
        <f t="shared" si="36"/>
        <v>0</v>
      </c>
      <c r="H256" s="82">
        <f t="shared" si="28"/>
        <v>0</v>
      </c>
      <c r="I256" s="82">
        <f t="shared" si="38"/>
        <v>0</v>
      </c>
      <c r="J256" s="82">
        <v>0</v>
      </c>
      <c r="K256" s="56">
        <f t="shared" si="33"/>
        <v>0</v>
      </c>
      <c r="L256" s="85">
        <f t="shared" si="29"/>
        <v>0</v>
      </c>
    </row>
    <row r="257" spans="1:12" ht="15">
      <c r="A257" s="52" t="s">
        <v>274</v>
      </c>
      <c r="B257" s="53" t="s">
        <v>275</v>
      </c>
      <c r="C257" s="82">
        <v>290000</v>
      </c>
      <c r="D257" s="82">
        <v>290000</v>
      </c>
      <c r="E257" s="82">
        <f t="shared" si="37"/>
        <v>0</v>
      </c>
      <c r="F257" s="82">
        <v>0</v>
      </c>
      <c r="G257" s="56">
        <f t="shared" si="36"/>
        <v>0</v>
      </c>
      <c r="H257" s="82">
        <f t="shared" si="28"/>
        <v>290000</v>
      </c>
      <c r="I257" s="82">
        <f t="shared" si="38"/>
        <v>0</v>
      </c>
      <c r="J257" s="82">
        <v>0</v>
      </c>
      <c r="K257" s="56">
        <f t="shared" si="33"/>
        <v>0</v>
      </c>
      <c r="L257" s="85">
        <f t="shared" si="29"/>
        <v>290000</v>
      </c>
    </row>
    <row r="258" spans="1:12" ht="15">
      <c r="A258" s="52" t="s">
        <v>54</v>
      </c>
      <c r="B258" s="53" t="s">
        <v>61</v>
      </c>
      <c r="C258" s="82">
        <v>374158952</v>
      </c>
      <c r="D258" s="82">
        <v>609822962</v>
      </c>
      <c r="E258" s="82">
        <f>F258-40100000</f>
        <v>26677371.64</v>
      </c>
      <c r="F258" s="82">
        <v>66777371.64</v>
      </c>
      <c r="G258" s="56">
        <f t="shared" si="36"/>
        <v>0.13257255288955017</v>
      </c>
      <c r="H258" s="82">
        <f t="shared" si="28"/>
        <v>543045590.36</v>
      </c>
      <c r="I258" s="82">
        <f>J258-37406608.56</f>
        <v>26746491.949999996</v>
      </c>
      <c r="J258" s="82">
        <v>64153100.51</v>
      </c>
      <c r="K258" s="56">
        <f t="shared" si="33"/>
        <v>0.15920914889210744</v>
      </c>
      <c r="L258" s="85">
        <f t="shared" si="29"/>
        <v>545669861.49</v>
      </c>
    </row>
    <row r="259" spans="1:12" ht="15">
      <c r="A259" s="52" t="s">
        <v>185</v>
      </c>
      <c r="B259" s="53" t="s">
        <v>186</v>
      </c>
      <c r="C259" s="82">
        <v>61840843</v>
      </c>
      <c r="D259" s="82">
        <v>78989023</v>
      </c>
      <c r="E259" s="82">
        <f>F259-21577572.8</f>
        <v>2885060.66</v>
      </c>
      <c r="F259" s="82">
        <v>24462633.46</v>
      </c>
      <c r="G259" s="56">
        <f t="shared" si="36"/>
        <v>0.04856545995366657</v>
      </c>
      <c r="H259" s="82">
        <f t="shared" si="28"/>
        <v>54526389.54</v>
      </c>
      <c r="I259" s="82">
        <f>J259-17156869.28</f>
        <v>3929409.1499999985</v>
      </c>
      <c r="J259" s="82">
        <v>21086278.43</v>
      </c>
      <c r="K259" s="56">
        <f t="shared" si="33"/>
        <v>0.052329948442928396</v>
      </c>
      <c r="L259" s="85">
        <f t="shared" si="29"/>
        <v>57902744.57</v>
      </c>
    </row>
    <row r="260" spans="1:12" ht="14.25">
      <c r="A260" s="47" t="s">
        <v>193</v>
      </c>
      <c r="B260" s="50" t="s">
        <v>194</v>
      </c>
      <c r="C260" s="81">
        <f>SUM(C261:C263)</f>
        <v>0</v>
      </c>
      <c r="D260" s="81">
        <f>SUM(D261:D263)</f>
        <v>0</v>
      </c>
      <c r="E260" s="81">
        <f>SUM(E261:E263)</f>
        <v>0</v>
      </c>
      <c r="F260" s="81">
        <f>SUM(F261:F263)</f>
        <v>0</v>
      </c>
      <c r="G260" s="51">
        <f t="shared" si="36"/>
        <v>0</v>
      </c>
      <c r="H260" s="81">
        <f t="shared" si="28"/>
        <v>0</v>
      </c>
      <c r="I260" s="81">
        <f>SUM(I261:I263)</f>
        <v>0</v>
      </c>
      <c r="J260" s="81">
        <f>SUM(J261:J263)</f>
        <v>0</v>
      </c>
      <c r="K260" s="51">
        <f t="shared" si="33"/>
        <v>0</v>
      </c>
      <c r="L260" s="84">
        <f t="shared" si="29"/>
        <v>0</v>
      </c>
    </row>
    <row r="261" spans="1:12" ht="15">
      <c r="A261" s="52" t="s">
        <v>28</v>
      </c>
      <c r="B261" s="53" t="s">
        <v>33</v>
      </c>
      <c r="C261" s="82">
        <v>0</v>
      </c>
      <c r="D261" s="82">
        <v>0</v>
      </c>
      <c r="E261" s="82">
        <f>F261-0</f>
        <v>0</v>
      </c>
      <c r="F261" s="82">
        <v>0</v>
      </c>
      <c r="G261" s="56">
        <f t="shared" si="36"/>
        <v>0</v>
      </c>
      <c r="H261" s="82">
        <f t="shared" si="28"/>
        <v>0</v>
      </c>
      <c r="I261" s="82">
        <f>J261-0</f>
        <v>0</v>
      </c>
      <c r="J261" s="82">
        <v>0</v>
      </c>
      <c r="K261" s="56">
        <f t="shared" si="33"/>
        <v>0</v>
      </c>
      <c r="L261" s="85">
        <f t="shared" si="29"/>
        <v>0</v>
      </c>
    </row>
    <row r="262" spans="1:12" ht="15">
      <c r="A262" s="52" t="s">
        <v>164</v>
      </c>
      <c r="B262" s="53" t="s">
        <v>165</v>
      </c>
      <c r="C262" s="82">
        <v>0</v>
      </c>
      <c r="D262" s="82">
        <v>0</v>
      </c>
      <c r="E262" s="82">
        <f>F262-0</f>
        <v>0</v>
      </c>
      <c r="F262" s="82">
        <v>0</v>
      </c>
      <c r="G262" s="56">
        <f t="shared" si="36"/>
        <v>0</v>
      </c>
      <c r="H262" s="82">
        <f t="shared" si="28"/>
        <v>0</v>
      </c>
      <c r="I262" s="82">
        <f>J262-0</f>
        <v>0</v>
      </c>
      <c r="J262" s="82">
        <v>0</v>
      </c>
      <c r="K262" s="56">
        <f aca="true" t="shared" si="39" ref="K262:K282">(J262/$J$296)*100</f>
        <v>0</v>
      </c>
      <c r="L262" s="85">
        <f t="shared" si="29"/>
        <v>0</v>
      </c>
    </row>
    <row r="263" spans="1:12" ht="15">
      <c r="A263" s="52" t="s">
        <v>117</v>
      </c>
      <c r="B263" s="53" t="s">
        <v>124</v>
      </c>
      <c r="C263" s="82">
        <v>0</v>
      </c>
      <c r="D263" s="82">
        <v>0</v>
      </c>
      <c r="E263" s="82">
        <f>F263-0</f>
        <v>0</v>
      </c>
      <c r="F263" s="82">
        <v>0</v>
      </c>
      <c r="G263" s="56">
        <f t="shared" si="36"/>
        <v>0</v>
      </c>
      <c r="H263" s="82">
        <f t="shared" si="28"/>
        <v>0</v>
      </c>
      <c r="I263" s="82">
        <f>J263-0</f>
        <v>0</v>
      </c>
      <c r="J263" s="82">
        <v>0</v>
      </c>
      <c r="K263" s="56">
        <f t="shared" si="39"/>
        <v>0</v>
      </c>
      <c r="L263" s="85">
        <f t="shared" si="29"/>
        <v>0</v>
      </c>
    </row>
    <row r="264" spans="1:12" ht="14.25">
      <c r="A264" s="47" t="s">
        <v>278</v>
      </c>
      <c r="B264" s="50" t="s">
        <v>279</v>
      </c>
      <c r="C264" s="81">
        <f>C265</f>
        <v>5000</v>
      </c>
      <c r="D264" s="81">
        <f>D265</f>
        <v>50000</v>
      </c>
      <c r="E264" s="81">
        <f>E265</f>
        <v>32000</v>
      </c>
      <c r="F264" s="81">
        <f>F265</f>
        <v>49768.04</v>
      </c>
      <c r="G264" s="51">
        <f t="shared" si="36"/>
        <v>9.880407019729248E-05</v>
      </c>
      <c r="H264" s="81">
        <f t="shared" si="28"/>
        <v>231.95999999999913</v>
      </c>
      <c r="I264" s="81">
        <f>I265</f>
        <v>21474.979999999996</v>
      </c>
      <c r="J264" s="81">
        <f>J265</f>
        <v>39243.02</v>
      </c>
      <c r="K264" s="51">
        <f t="shared" si="39"/>
        <v>9.738964702387304E-05</v>
      </c>
      <c r="L264" s="84">
        <f t="shared" si="29"/>
        <v>10756.980000000003</v>
      </c>
    </row>
    <row r="265" spans="1:12" ht="15">
      <c r="A265" s="52" t="s">
        <v>187</v>
      </c>
      <c r="B265" s="53" t="s">
        <v>188</v>
      </c>
      <c r="C265" s="82">
        <v>5000</v>
      </c>
      <c r="D265" s="82">
        <v>50000</v>
      </c>
      <c r="E265" s="82">
        <f>F265-17768.04</f>
        <v>32000</v>
      </c>
      <c r="F265" s="82">
        <v>49768.04</v>
      </c>
      <c r="G265" s="82">
        <f t="shared" si="36"/>
        <v>9.880407019729248E-05</v>
      </c>
      <c r="H265" s="82">
        <f t="shared" si="28"/>
        <v>231.95999999999913</v>
      </c>
      <c r="I265" s="82">
        <f>J265-17768.04</f>
        <v>21474.979999999996</v>
      </c>
      <c r="J265" s="82">
        <v>39243.02</v>
      </c>
      <c r="K265" s="56">
        <f t="shared" si="39"/>
        <v>9.738964702387304E-05</v>
      </c>
      <c r="L265" s="85">
        <f t="shared" si="29"/>
        <v>10756.980000000003</v>
      </c>
    </row>
    <row r="266" spans="1:12" ht="14.25">
      <c r="A266" s="47" t="s">
        <v>195</v>
      </c>
      <c r="B266" s="50" t="s">
        <v>196</v>
      </c>
      <c r="C266" s="81">
        <f>SUM(C267:C278)</f>
        <v>1685962051</v>
      </c>
      <c r="D266" s="81">
        <f>SUM(D267:D278)</f>
        <v>2622213964.45</v>
      </c>
      <c r="E266" s="81">
        <f>SUM(E267:E278)</f>
        <v>737508680.3799999</v>
      </c>
      <c r="F266" s="81">
        <f>SUM(F267:F278)</f>
        <v>1679878500.01</v>
      </c>
      <c r="G266" s="51">
        <f t="shared" si="36"/>
        <v>3.3350486223269074</v>
      </c>
      <c r="H266" s="81">
        <f t="shared" si="28"/>
        <v>942335464.4399998</v>
      </c>
      <c r="I266" s="81">
        <f>SUM(I267:I278)</f>
        <v>596548724.5</v>
      </c>
      <c r="J266" s="81">
        <f>SUM(J267:J278)</f>
        <v>987141800.0600001</v>
      </c>
      <c r="K266" s="51">
        <f t="shared" si="39"/>
        <v>2.4497959502187667</v>
      </c>
      <c r="L266" s="84">
        <f t="shared" si="29"/>
        <v>1635072164.3899999</v>
      </c>
    </row>
    <row r="267" spans="1:12" ht="15">
      <c r="A267" s="52" t="s">
        <v>28</v>
      </c>
      <c r="B267" s="53" t="s">
        <v>33</v>
      </c>
      <c r="C267" s="82">
        <v>366608438</v>
      </c>
      <c r="D267" s="82">
        <v>492868285.36</v>
      </c>
      <c r="E267" s="82">
        <f>F267-92599321.63</f>
        <v>221510673.16000003</v>
      </c>
      <c r="F267" s="82">
        <v>314109994.79</v>
      </c>
      <c r="G267" s="56">
        <f t="shared" si="36"/>
        <v>0.6235999242667047</v>
      </c>
      <c r="H267" s="82">
        <f t="shared" si="28"/>
        <v>178758290.57</v>
      </c>
      <c r="I267" s="82">
        <f>J267-81439780.46</f>
        <v>212930730.09000003</v>
      </c>
      <c r="J267" s="82">
        <v>294370510.55</v>
      </c>
      <c r="K267" s="56">
        <f t="shared" si="39"/>
        <v>0.7305411285039173</v>
      </c>
      <c r="L267" s="85">
        <f t="shared" si="29"/>
        <v>198497774.81</v>
      </c>
    </row>
    <row r="268" spans="1:12" ht="15">
      <c r="A268" s="52" t="s">
        <v>29</v>
      </c>
      <c r="B268" s="53" t="s">
        <v>34</v>
      </c>
      <c r="C268" s="82">
        <v>5000</v>
      </c>
      <c r="D268" s="82">
        <v>5000</v>
      </c>
      <c r="E268" s="82">
        <f>F268-0</f>
        <v>0</v>
      </c>
      <c r="F268" s="82">
        <v>0</v>
      </c>
      <c r="G268" s="56">
        <f t="shared" si="36"/>
        <v>0</v>
      </c>
      <c r="H268" s="82">
        <f t="shared" si="28"/>
        <v>5000</v>
      </c>
      <c r="I268" s="82">
        <f>J268-0</f>
        <v>0</v>
      </c>
      <c r="J268" s="82">
        <v>0</v>
      </c>
      <c r="K268" s="56">
        <f t="shared" si="39"/>
        <v>0</v>
      </c>
      <c r="L268" s="85">
        <f t="shared" si="29"/>
        <v>5000</v>
      </c>
    </row>
    <row r="269" spans="1:12" ht="15">
      <c r="A269" s="52" t="s">
        <v>236</v>
      </c>
      <c r="B269" s="53" t="s">
        <v>235</v>
      </c>
      <c r="C269" s="82">
        <v>1748850</v>
      </c>
      <c r="D269" s="82">
        <v>1748850</v>
      </c>
      <c r="E269" s="82">
        <f aca="true" t="shared" si="40" ref="E269:E277">F269-0</f>
        <v>0</v>
      </c>
      <c r="F269" s="82">
        <v>0</v>
      </c>
      <c r="G269" s="56">
        <f t="shared" si="36"/>
        <v>0</v>
      </c>
      <c r="H269" s="82">
        <f t="shared" si="28"/>
        <v>1748850</v>
      </c>
      <c r="I269" s="82">
        <f aca="true" t="shared" si="41" ref="I269:I277">J269-0</f>
        <v>0</v>
      </c>
      <c r="J269" s="82">
        <v>0</v>
      </c>
      <c r="K269" s="56">
        <f t="shared" si="39"/>
        <v>0</v>
      </c>
      <c r="L269" s="85">
        <f t="shared" si="29"/>
        <v>1748850</v>
      </c>
    </row>
    <row r="270" spans="1:12" ht="15">
      <c r="A270" s="52" t="s">
        <v>83</v>
      </c>
      <c r="B270" s="53" t="s">
        <v>85</v>
      </c>
      <c r="C270" s="82">
        <v>300000</v>
      </c>
      <c r="D270" s="82">
        <v>300000</v>
      </c>
      <c r="E270" s="82">
        <f>F270-0</f>
        <v>0</v>
      </c>
      <c r="F270" s="82">
        <v>0</v>
      </c>
      <c r="G270" s="56">
        <f t="shared" si="36"/>
        <v>0</v>
      </c>
      <c r="H270" s="82">
        <f t="shared" si="28"/>
        <v>300000</v>
      </c>
      <c r="I270" s="82">
        <f>J270-0</f>
        <v>0</v>
      </c>
      <c r="J270" s="82">
        <v>0</v>
      </c>
      <c r="K270" s="56">
        <f t="shared" si="39"/>
        <v>0</v>
      </c>
      <c r="L270" s="85">
        <f t="shared" si="29"/>
        <v>300000</v>
      </c>
    </row>
    <row r="271" spans="1:12" ht="15">
      <c r="A271" s="52" t="s">
        <v>135</v>
      </c>
      <c r="B271" s="53" t="s">
        <v>136</v>
      </c>
      <c r="C271" s="82">
        <v>32043916</v>
      </c>
      <c r="D271" s="82">
        <v>18151050.81</v>
      </c>
      <c r="E271" s="82">
        <f>F271-3985376.81</f>
        <v>4681923.279999999</v>
      </c>
      <c r="F271" s="82">
        <v>8667300.09</v>
      </c>
      <c r="G271" s="56">
        <f t="shared" si="36"/>
        <v>0.01720711779112377</v>
      </c>
      <c r="H271" s="82">
        <f t="shared" si="28"/>
        <v>9483750.719999999</v>
      </c>
      <c r="I271" s="82">
        <f>J271-40000</f>
        <v>4420890.24</v>
      </c>
      <c r="J271" s="82">
        <v>4460890.24</v>
      </c>
      <c r="K271" s="56">
        <f t="shared" si="39"/>
        <v>0.011070619077885452</v>
      </c>
      <c r="L271" s="85">
        <f t="shared" si="29"/>
        <v>13690160.569999998</v>
      </c>
    </row>
    <row r="272" spans="1:12" ht="15">
      <c r="A272" s="52" t="s">
        <v>151</v>
      </c>
      <c r="B272" s="53" t="s">
        <v>152</v>
      </c>
      <c r="C272" s="82">
        <v>231037385</v>
      </c>
      <c r="D272" s="82">
        <v>403605428.47</v>
      </c>
      <c r="E272" s="82">
        <f>F272-115821308.64</f>
        <v>81589074.02999999</v>
      </c>
      <c r="F272" s="82">
        <v>197410382.67</v>
      </c>
      <c r="G272" s="56">
        <f t="shared" si="36"/>
        <v>0.3919171682670455</v>
      </c>
      <c r="H272" s="82">
        <f t="shared" si="28"/>
        <v>206195045.80000004</v>
      </c>
      <c r="I272" s="82">
        <f>J272-115665024.54</f>
        <v>81542041.46999998</v>
      </c>
      <c r="J272" s="82">
        <v>197207066.01</v>
      </c>
      <c r="K272" s="56">
        <f t="shared" si="39"/>
        <v>0.4894100033414231</v>
      </c>
      <c r="L272" s="85">
        <f t="shared" si="29"/>
        <v>206398362.46000004</v>
      </c>
    </row>
    <row r="273" spans="1:12" ht="15">
      <c r="A273" s="52" t="s">
        <v>145</v>
      </c>
      <c r="B273" s="53" t="s">
        <v>146</v>
      </c>
      <c r="C273" s="82">
        <v>0</v>
      </c>
      <c r="D273" s="82">
        <v>0</v>
      </c>
      <c r="E273" s="82">
        <f t="shared" si="40"/>
        <v>0</v>
      </c>
      <c r="F273" s="82">
        <v>0</v>
      </c>
      <c r="G273" s="56">
        <f t="shared" si="36"/>
        <v>0</v>
      </c>
      <c r="H273" s="82">
        <f t="shared" si="28"/>
        <v>0</v>
      </c>
      <c r="I273" s="82">
        <f t="shared" si="41"/>
        <v>0</v>
      </c>
      <c r="J273" s="82">
        <v>0</v>
      </c>
      <c r="K273" s="56">
        <f t="shared" si="39"/>
        <v>0</v>
      </c>
      <c r="L273" s="85">
        <f t="shared" si="29"/>
        <v>0</v>
      </c>
    </row>
    <row r="274" spans="1:12" ht="15">
      <c r="A274" s="52" t="s">
        <v>70</v>
      </c>
      <c r="B274" s="53" t="s">
        <v>78</v>
      </c>
      <c r="C274" s="82">
        <v>29019000</v>
      </c>
      <c r="D274" s="82">
        <v>55029458.82</v>
      </c>
      <c r="E274" s="82">
        <f t="shared" si="40"/>
        <v>0</v>
      </c>
      <c r="F274" s="82">
        <v>0</v>
      </c>
      <c r="G274" s="56">
        <f t="shared" si="36"/>
        <v>0</v>
      </c>
      <c r="H274" s="82">
        <f t="shared" si="28"/>
        <v>55029458.82</v>
      </c>
      <c r="I274" s="82">
        <f t="shared" si="41"/>
        <v>0</v>
      </c>
      <c r="J274" s="82">
        <v>0</v>
      </c>
      <c r="K274" s="56">
        <f t="shared" si="39"/>
        <v>0</v>
      </c>
      <c r="L274" s="85">
        <f t="shared" si="29"/>
        <v>55029458.82</v>
      </c>
    </row>
    <row r="275" spans="1:12" ht="15">
      <c r="A275" s="52" t="s">
        <v>71</v>
      </c>
      <c r="B275" s="53" t="s">
        <v>79</v>
      </c>
      <c r="C275" s="82">
        <v>666996568</v>
      </c>
      <c r="D275" s="82">
        <v>1338180086.83</v>
      </c>
      <c r="E275" s="82">
        <f>F275-726942714.96</f>
        <v>425615739.90999985</v>
      </c>
      <c r="F275" s="82">
        <v>1152558454.87</v>
      </c>
      <c r="G275" s="56">
        <f t="shared" si="36"/>
        <v>2.2881645827615156</v>
      </c>
      <c r="H275" s="82">
        <f t="shared" si="28"/>
        <v>185621631.96000004</v>
      </c>
      <c r="I275" s="82">
        <f>J275-192943744.89</f>
        <v>297578826.47</v>
      </c>
      <c r="J275" s="82">
        <v>490522571.36</v>
      </c>
      <c r="K275" s="56">
        <f t="shared" si="39"/>
        <v>1.2173329188730373</v>
      </c>
      <c r="L275" s="85">
        <f t="shared" si="29"/>
        <v>847657515.4699999</v>
      </c>
    </row>
    <row r="276" spans="1:12" ht="15">
      <c r="A276" s="52" t="s">
        <v>197</v>
      </c>
      <c r="B276" s="53" t="s">
        <v>198</v>
      </c>
      <c r="C276" s="82">
        <v>266787678</v>
      </c>
      <c r="D276" s="82">
        <v>266776678</v>
      </c>
      <c r="E276" s="82">
        <f>F276-2911061.41</f>
        <v>96550</v>
      </c>
      <c r="F276" s="82">
        <v>3007611.41</v>
      </c>
      <c r="G276" s="56">
        <f t="shared" si="36"/>
        <v>0.005970985573870657</v>
      </c>
      <c r="H276" s="82">
        <f t="shared" si="28"/>
        <v>263769066.59</v>
      </c>
      <c r="I276" s="82">
        <f>J276-418354.12</f>
        <v>65771.59999999998</v>
      </c>
      <c r="J276" s="82">
        <v>484125.72</v>
      </c>
      <c r="K276" s="56">
        <f t="shared" si="39"/>
        <v>0.0012014578130321875</v>
      </c>
      <c r="L276" s="85">
        <f t="shared" si="29"/>
        <v>266292552.28</v>
      </c>
    </row>
    <row r="277" spans="1:12" ht="15">
      <c r="A277" s="52" t="s">
        <v>199</v>
      </c>
      <c r="B277" s="53" t="s">
        <v>200</v>
      </c>
      <c r="C277" s="82">
        <v>162655</v>
      </c>
      <c r="D277" s="82">
        <v>4009000</v>
      </c>
      <c r="E277" s="82">
        <f t="shared" si="40"/>
        <v>3999000</v>
      </c>
      <c r="F277" s="82">
        <v>3999000</v>
      </c>
      <c r="G277" s="56">
        <f t="shared" si="36"/>
        <v>0.007939180982794834</v>
      </c>
      <c r="H277" s="82">
        <f t="shared" si="28"/>
        <v>10000</v>
      </c>
      <c r="I277" s="82">
        <f t="shared" si="41"/>
        <v>0</v>
      </c>
      <c r="J277" s="82">
        <v>0</v>
      </c>
      <c r="K277" s="56">
        <f t="shared" si="39"/>
        <v>0</v>
      </c>
      <c r="L277" s="85">
        <f t="shared" si="29"/>
        <v>4009000</v>
      </c>
    </row>
    <row r="278" spans="1:12" ht="15">
      <c r="A278" s="52" t="s">
        <v>201</v>
      </c>
      <c r="B278" s="53" t="s">
        <v>202</v>
      </c>
      <c r="C278" s="82">
        <v>91252561</v>
      </c>
      <c r="D278" s="82">
        <v>41540126.16</v>
      </c>
      <c r="E278" s="82">
        <f>F278-110036.18</f>
        <v>15720</v>
      </c>
      <c r="F278" s="82">
        <v>125756.18</v>
      </c>
      <c r="G278" s="56">
        <f t="shared" si="36"/>
        <v>0.00024966268385219405</v>
      </c>
      <c r="H278" s="82">
        <f t="shared" si="28"/>
        <v>41414369.98</v>
      </c>
      <c r="I278" s="82">
        <f>J278-86171.55</f>
        <v>10464.62999999999</v>
      </c>
      <c r="J278" s="82">
        <v>96636.18</v>
      </c>
      <c r="K278" s="56">
        <f t="shared" si="39"/>
        <v>0.00023982260947132662</v>
      </c>
      <c r="L278" s="85">
        <f t="shared" si="29"/>
        <v>41443489.98</v>
      </c>
    </row>
    <row r="279" spans="1:12" ht="14.25">
      <c r="A279" s="47" t="s">
        <v>203</v>
      </c>
      <c r="B279" s="50" t="s">
        <v>204</v>
      </c>
      <c r="C279" s="81">
        <f>SUM(C280:C284)</f>
        <v>99401735</v>
      </c>
      <c r="D279" s="81">
        <f>SUM(D280:D284)</f>
        <v>182255968.23000002</v>
      </c>
      <c r="E279" s="81">
        <f>SUM(E280:E284)</f>
        <v>4613837.709999999</v>
      </c>
      <c r="F279" s="81">
        <f>SUM(F280:F284)</f>
        <v>34556618.25</v>
      </c>
      <c r="G279" s="51">
        <f t="shared" si="36"/>
        <v>0.0686049628507379</v>
      </c>
      <c r="H279" s="81">
        <f t="shared" si="28"/>
        <v>147699349.98000002</v>
      </c>
      <c r="I279" s="81">
        <f>SUM(I280:I284)</f>
        <v>3880330.2200000016</v>
      </c>
      <c r="J279" s="81">
        <f>SUM(J280:J284)</f>
        <v>28692592.65</v>
      </c>
      <c r="K279" s="51">
        <f t="shared" si="39"/>
        <v>0.07120658579241032</v>
      </c>
      <c r="L279" s="84">
        <f t="shared" si="29"/>
        <v>153563375.58</v>
      </c>
    </row>
    <row r="280" spans="1:12" ht="15">
      <c r="A280" s="52" t="s">
        <v>28</v>
      </c>
      <c r="B280" s="53" t="s">
        <v>33</v>
      </c>
      <c r="C280" s="82">
        <v>17975379</v>
      </c>
      <c r="D280" s="82">
        <v>19071163.52</v>
      </c>
      <c r="E280" s="82">
        <f>F280-5793542.24</f>
        <v>3738346.5299999993</v>
      </c>
      <c r="F280" s="82">
        <v>9531888.77</v>
      </c>
      <c r="G280" s="56">
        <f t="shared" si="36"/>
        <v>0.018923578407826866</v>
      </c>
      <c r="H280" s="82">
        <f t="shared" si="28"/>
        <v>9539274.75</v>
      </c>
      <c r="I280" s="82">
        <f>J280-5252098.69</f>
        <v>3231673.96</v>
      </c>
      <c r="J280" s="82">
        <v>8483772.65</v>
      </c>
      <c r="K280" s="56">
        <f t="shared" si="39"/>
        <v>0.02105423139743802</v>
      </c>
      <c r="L280" s="85">
        <f t="shared" si="29"/>
        <v>10587390.87</v>
      </c>
    </row>
    <row r="281" spans="1:12" ht="15">
      <c r="A281" s="52" t="s">
        <v>53</v>
      </c>
      <c r="B281" s="53" t="s">
        <v>60</v>
      </c>
      <c r="C281" s="82">
        <v>21000000</v>
      </c>
      <c r="D281" s="82">
        <v>21000000</v>
      </c>
      <c r="E281" s="82">
        <f>F281-0</f>
        <v>0</v>
      </c>
      <c r="F281" s="82">
        <v>0</v>
      </c>
      <c r="G281" s="56">
        <f t="shared" si="36"/>
        <v>0</v>
      </c>
      <c r="H281" s="82">
        <f t="shared" si="28"/>
        <v>21000000</v>
      </c>
      <c r="I281" s="82">
        <f>J281-0</f>
        <v>0</v>
      </c>
      <c r="J281" s="82">
        <v>0</v>
      </c>
      <c r="K281" s="56">
        <f t="shared" si="39"/>
        <v>0</v>
      </c>
      <c r="L281" s="85">
        <f t="shared" si="29"/>
        <v>21000000</v>
      </c>
    </row>
    <row r="282" spans="1:12" ht="15">
      <c r="A282" s="52" t="s">
        <v>205</v>
      </c>
      <c r="B282" s="53" t="s">
        <v>206</v>
      </c>
      <c r="C282" s="82">
        <v>2155000</v>
      </c>
      <c r="D282" s="82">
        <v>6311000</v>
      </c>
      <c r="E282" s="82">
        <f>F282-0</f>
        <v>0</v>
      </c>
      <c r="F282" s="82">
        <v>0</v>
      </c>
      <c r="G282" s="56">
        <f t="shared" si="36"/>
        <v>0</v>
      </c>
      <c r="H282" s="82">
        <f t="shared" si="28"/>
        <v>6311000</v>
      </c>
      <c r="I282" s="82">
        <f>J282-0</f>
        <v>0</v>
      </c>
      <c r="J282" s="82">
        <v>0</v>
      </c>
      <c r="K282" s="56">
        <f t="shared" si="39"/>
        <v>0</v>
      </c>
      <c r="L282" s="85">
        <f t="shared" si="29"/>
        <v>6311000</v>
      </c>
    </row>
    <row r="283" spans="1:12" ht="15">
      <c r="A283" s="52" t="s">
        <v>207</v>
      </c>
      <c r="B283" s="53" t="s">
        <v>208</v>
      </c>
      <c r="C283" s="82">
        <v>58266356</v>
      </c>
      <c r="D283" s="82">
        <v>135868804.71</v>
      </c>
      <c r="E283" s="82">
        <f>F283-24149238.3</f>
        <v>875491.1799999997</v>
      </c>
      <c r="F283" s="82">
        <v>25024729.48</v>
      </c>
      <c r="G283" s="56">
        <f aca="true" t="shared" si="42" ref="G283:G295">(F283/$F$296)*100</f>
        <v>0.04968138444291104</v>
      </c>
      <c r="H283" s="82">
        <f t="shared" si="28"/>
        <v>110844075.23</v>
      </c>
      <c r="I283" s="82">
        <f>J283-19560163.74</f>
        <v>648656.2600000016</v>
      </c>
      <c r="J283" s="82">
        <v>20208820</v>
      </c>
      <c r="K283" s="56">
        <f aca="true" t="shared" si="43" ref="K283:K295">(J283/$J$296)*100</f>
        <v>0.05015235439497231</v>
      </c>
      <c r="L283" s="85">
        <f t="shared" si="29"/>
        <v>115659984.71000001</v>
      </c>
    </row>
    <row r="284" spans="1:12" ht="15">
      <c r="A284" s="52" t="s">
        <v>209</v>
      </c>
      <c r="B284" s="53" t="s">
        <v>210</v>
      </c>
      <c r="C284" s="82">
        <v>5000</v>
      </c>
      <c r="D284" s="82">
        <v>5000</v>
      </c>
      <c r="E284" s="82">
        <f>F284-0</f>
        <v>0</v>
      </c>
      <c r="F284" s="82">
        <v>0</v>
      </c>
      <c r="G284" s="56">
        <f t="shared" si="42"/>
        <v>0</v>
      </c>
      <c r="H284" s="82">
        <f t="shared" si="28"/>
        <v>5000</v>
      </c>
      <c r="I284" s="56">
        <f>J284-0</f>
        <v>0</v>
      </c>
      <c r="J284" s="82">
        <v>0</v>
      </c>
      <c r="K284" s="56">
        <f t="shared" si="43"/>
        <v>0</v>
      </c>
      <c r="L284" s="85">
        <f aca="true" t="shared" si="44" ref="L284:L384">D284-J284</f>
        <v>5000</v>
      </c>
    </row>
    <row r="285" spans="1:12" ht="14.25">
      <c r="A285" s="47" t="s">
        <v>211</v>
      </c>
      <c r="B285" s="50" t="s">
        <v>212</v>
      </c>
      <c r="C285" s="81">
        <f>SUM(C286:C290)</f>
        <v>5734330415</v>
      </c>
      <c r="D285" s="81">
        <f>SUM(D286:D290)</f>
        <v>4096110969.21</v>
      </c>
      <c r="E285" s="81">
        <f>SUM(E286:E290)</f>
        <v>427483598.31999993</v>
      </c>
      <c r="F285" s="81">
        <f>SUM(F286:F290)</f>
        <v>1168231275.82</v>
      </c>
      <c r="G285" s="51">
        <f t="shared" si="42"/>
        <v>2.319279702049585</v>
      </c>
      <c r="H285" s="81">
        <f t="shared" si="28"/>
        <v>2927879693.3900003</v>
      </c>
      <c r="I285" s="81">
        <f>SUM(I286:I290)</f>
        <v>427483598.31999993</v>
      </c>
      <c r="J285" s="81">
        <f>SUM(J286:J290)</f>
        <v>1168231275.82</v>
      </c>
      <c r="K285" s="51">
        <f t="shared" si="43"/>
        <v>2.8992068295039135</v>
      </c>
      <c r="L285" s="84">
        <f t="shared" si="44"/>
        <v>2927879693.3900003</v>
      </c>
    </row>
    <row r="286" spans="1:12" ht="15">
      <c r="A286" s="52" t="s">
        <v>39</v>
      </c>
      <c r="B286" s="53" t="s">
        <v>41</v>
      </c>
      <c r="C286" s="82">
        <v>894589021</v>
      </c>
      <c r="D286" s="82">
        <v>677900642.53</v>
      </c>
      <c r="E286" s="82">
        <f>F286-20566181.95</f>
        <v>48877784.64999999</v>
      </c>
      <c r="F286" s="82">
        <v>69443966.6</v>
      </c>
      <c r="G286" s="56">
        <f t="shared" si="42"/>
        <v>0.13786652138048502</v>
      </c>
      <c r="H286" s="82">
        <f aca="true" t="shared" si="45" ref="H286:H372">D286-F286</f>
        <v>608456675.93</v>
      </c>
      <c r="I286" s="82">
        <f>J286-20566181.95</f>
        <v>48877784.64999999</v>
      </c>
      <c r="J286" s="82">
        <v>69443966.6</v>
      </c>
      <c r="K286" s="56">
        <f t="shared" si="43"/>
        <v>0.1723395242035814</v>
      </c>
      <c r="L286" s="85">
        <f t="shared" si="44"/>
        <v>608456675.93</v>
      </c>
    </row>
    <row r="287" spans="1:12" ht="15">
      <c r="A287" s="52" t="s">
        <v>213</v>
      </c>
      <c r="B287" s="53" t="s">
        <v>214</v>
      </c>
      <c r="C287" s="82">
        <v>2243960060</v>
      </c>
      <c r="D287" s="82">
        <v>1024090060</v>
      </c>
      <c r="E287" s="82">
        <f>F287-4353638.99</f>
        <v>1224373.12</v>
      </c>
      <c r="F287" s="82">
        <v>5578012.11</v>
      </c>
      <c r="G287" s="56">
        <f t="shared" si="42"/>
        <v>0.011073980411480692</v>
      </c>
      <c r="H287" s="82">
        <f t="shared" si="45"/>
        <v>1018512047.89</v>
      </c>
      <c r="I287" s="82">
        <f>J287-4353638.99</f>
        <v>1224373.12</v>
      </c>
      <c r="J287" s="82">
        <v>5578012.11</v>
      </c>
      <c r="K287" s="56">
        <f t="shared" si="43"/>
        <v>0.013842987376807121</v>
      </c>
      <c r="L287" s="85">
        <f t="shared" si="44"/>
        <v>1018512047.89</v>
      </c>
    </row>
    <row r="288" spans="1:12" ht="15">
      <c r="A288" s="52" t="s">
        <v>215</v>
      </c>
      <c r="B288" s="53" t="s">
        <v>216</v>
      </c>
      <c r="C288" s="82">
        <v>457312339</v>
      </c>
      <c r="D288" s="82">
        <v>259356559.59</v>
      </c>
      <c r="E288" s="82">
        <f>F288-124827643.62</f>
        <v>61936710.099999994</v>
      </c>
      <c r="F288" s="82">
        <v>186764353.72</v>
      </c>
      <c r="G288" s="56">
        <f t="shared" si="42"/>
        <v>0.3707816967536363</v>
      </c>
      <c r="H288" s="82">
        <f t="shared" si="45"/>
        <v>72592205.87</v>
      </c>
      <c r="I288" s="82">
        <f>J288-124827643.62</f>
        <v>61936710.099999994</v>
      </c>
      <c r="J288" s="82">
        <v>186764353.72</v>
      </c>
      <c r="K288" s="56">
        <f t="shared" si="43"/>
        <v>0.4634942592448943</v>
      </c>
      <c r="L288" s="85">
        <f t="shared" si="44"/>
        <v>72592205.87</v>
      </c>
    </row>
    <row r="289" spans="1:12" ht="15">
      <c r="A289" s="52" t="s">
        <v>217</v>
      </c>
      <c r="B289" s="53" t="s">
        <v>218</v>
      </c>
      <c r="C289" s="82">
        <v>2977743</v>
      </c>
      <c r="D289" s="82">
        <v>2977743</v>
      </c>
      <c r="E289" s="82">
        <f>F289-0</f>
        <v>0</v>
      </c>
      <c r="F289" s="82">
        <v>0</v>
      </c>
      <c r="G289" s="56">
        <f t="shared" si="42"/>
        <v>0</v>
      </c>
      <c r="H289" s="82">
        <f t="shared" si="45"/>
        <v>2977743</v>
      </c>
      <c r="I289" s="82">
        <f>J289-0</f>
        <v>0</v>
      </c>
      <c r="J289" s="82">
        <v>0</v>
      </c>
      <c r="K289" s="56">
        <f t="shared" si="43"/>
        <v>0</v>
      </c>
      <c r="L289" s="85">
        <f t="shared" si="44"/>
        <v>2977743</v>
      </c>
    </row>
    <row r="290" spans="1:12" ht="15">
      <c r="A290" s="52" t="s">
        <v>219</v>
      </c>
      <c r="B290" s="53" t="s">
        <v>220</v>
      </c>
      <c r="C290" s="82">
        <v>2135491252</v>
      </c>
      <c r="D290" s="82">
        <v>2131785964.09</v>
      </c>
      <c r="E290" s="82">
        <f>F290-591000212.94</f>
        <v>315444730.4499999</v>
      </c>
      <c r="F290" s="82">
        <v>906444943.39</v>
      </c>
      <c r="G290" s="56">
        <f t="shared" si="42"/>
        <v>1.7995575035039828</v>
      </c>
      <c r="H290" s="82">
        <f t="shared" si="45"/>
        <v>1225341020.6999998</v>
      </c>
      <c r="I290" s="82">
        <f>J290-591000212.94</f>
        <v>315444730.4499999</v>
      </c>
      <c r="J290" s="82">
        <v>906444943.39</v>
      </c>
      <c r="K290" s="56">
        <f t="shared" si="43"/>
        <v>2.249530058678631</v>
      </c>
      <c r="L290" s="85">
        <f t="shared" si="44"/>
        <v>1225341020.6999998</v>
      </c>
    </row>
    <row r="291" spans="1:12" ht="14.25">
      <c r="A291" s="47" t="s">
        <v>221</v>
      </c>
      <c r="B291" s="50" t="s">
        <v>222</v>
      </c>
      <c r="C291" s="81">
        <f>SUM(C292:C294)</f>
        <v>2450745443</v>
      </c>
      <c r="D291" s="84">
        <f>SUM(D292:D294)</f>
        <v>2446745443</v>
      </c>
      <c r="E291" s="112"/>
      <c r="F291" s="112"/>
      <c r="G291" s="112"/>
      <c r="H291" s="81">
        <f t="shared" si="45"/>
        <v>2446745443</v>
      </c>
      <c r="I291" s="112"/>
      <c r="J291" s="112"/>
      <c r="K291" s="112"/>
      <c r="L291" s="84">
        <f t="shared" si="44"/>
        <v>2446745443</v>
      </c>
    </row>
    <row r="292" spans="1:12" ht="15">
      <c r="A292" s="52" t="s">
        <v>28</v>
      </c>
      <c r="B292" s="66" t="s">
        <v>33</v>
      </c>
      <c r="C292" s="82">
        <v>2100000000</v>
      </c>
      <c r="D292" s="92">
        <v>2100000000</v>
      </c>
      <c r="E292" s="112"/>
      <c r="F292" s="112"/>
      <c r="G292" s="112"/>
      <c r="H292" s="82">
        <f t="shared" si="45"/>
        <v>2100000000</v>
      </c>
      <c r="I292" s="112"/>
      <c r="J292" s="112"/>
      <c r="K292" s="112"/>
      <c r="L292" s="85">
        <f t="shared" si="44"/>
        <v>2100000000</v>
      </c>
    </row>
    <row r="293" spans="1:12" ht="15">
      <c r="A293" s="52" t="s">
        <v>246</v>
      </c>
      <c r="B293" s="66" t="s">
        <v>247</v>
      </c>
      <c r="C293" s="82">
        <v>348245443</v>
      </c>
      <c r="D293" s="89">
        <v>344245443</v>
      </c>
      <c r="E293" s="112"/>
      <c r="F293" s="112"/>
      <c r="G293" s="112"/>
      <c r="H293" s="82">
        <f t="shared" si="45"/>
        <v>344245443</v>
      </c>
      <c r="I293" s="112"/>
      <c r="J293" s="112"/>
      <c r="K293" s="112"/>
      <c r="L293" s="85">
        <f t="shared" si="44"/>
        <v>344245443</v>
      </c>
    </row>
    <row r="294" spans="1:12" ht="15">
      <c r="A294" s="52" t="s">
        <v>223</v>
      </c>
      <c r="B294" s="53" t="s">
        <v>224</v>
      </c>
      <c r="C294" s="82">
        <v>2500000</v>
      </c>
      <c r="D294" s="82">
        <v>2500000</v>
      </c>
      <c r="E294" s="112"/>
      <c r="F294" s="112"/>
      <c r="G294" s="112"/>
      <c r="H294" s="82">
        <f t="shared" si="45"/>
        <v>2500000</v>
      </c>
      <c r="I294" s="112"/>
      <c r="J294" s="112"/>
      <c r="K294" s="112"/>
      <c r="L294" s="85">
        <f>D294-J294</f>
        <v>2500000</v>
      </c>
    </row>
    <row r="295" spans="1:12" ht="14.25">
      <c r="A295" s="47"/>
      <c r="B295" s="50" t="s">
        <v>16</v>
      </c>
      <c r="C295" s="81">
        <f>C312</f>
        <v>5479454544</v>
      </c>
      <c r="D295" s="81">
        <f>D312</f>
        <v>5745852322.51</v>
      </c>
      <c r="E295" s="81">
        <f>E312</f>
        <v>792208395.9099998</v>
      </c>
      <c r="F295" s="81">
        <f>F312</f>
        <v>3236062537.96</v>
      </c>
      <c r="G295" s="51">
        <f t="shared" si="42"/>
        <v>6.424527672044715</v>
      </c>
      <c r="H295" s="81">
        <f>D295-F295</f>
        <v>2509789784.55</v>
      </c>
      <c r="I295" s="81">
        <f>I312</f>
        <v>848894256.2499998</v>
      </c>
      <c r="J295" s="81">
        <f>J312</f>
        <v>2644551237.5299997</v>
      </c>
      <c r="K295" s="51">
        <f t="shared" si="43"/>
        <v>6.5629992686493885</v>
      </c>
      <c r="L295" s="84">
        <f>D295-J295</f>
        <v>3101301084.9800005</v>
      </c>
    </row>
    <row r="296" spans="1:12" ht="14.25">
      <c r="A296" s="122" t="s">
        <v>225</v>
      </c>
      <c r="B296" s="123"/>
      <c r="C296" s="95">
        <f aca="true" t="shared" si="46" ref="C296:L296">C14+C295</f>
        <v>92916188583</v>
      </c>
      <c r="D296" s="95">
        <f t="shared" si="46"/>
        <v>104167751156.31999</v>
      </c>
      <c r="E296" s="95">
        <f t="shared" si="46"/>
        <v>15928470657.879997</v>
      </c>
      <c r="F296" s="95">
        <f t="shared" si="46"/>
        <v>50370435044.45001</v>
      </c>
      <c r="G296" s="95">
        <f t="shared" si="46"/>
        <v>100</v>
      </c>
      <c r="H296" s="95">
        <f t="shared" si="46"/>
        <v>53797316111.86999</v>
      </c>
      <c r="I296" s="95">
        <f t="shared" si="46"/>
        <v>15914611454.86</v>
      </c>
      <c r="J296" s="95">
        <f t="shared" si="46"/>
        <v>40294858025.69999</v>
      </c>
      <c r="K296" s="95">
        <f t="shared" si="46"/>
        <v>100.00000000000001</v>
      </c>
      <c r="L296" s="96">
        <f t="shared" si="46"/>
        <v>63872893130.62001</v>
      </c>
    </row>
    <row r="297" spans="1:12" ht="15">
      <c r="A297" s="69"/>
      <c r="B297" s="69"/>
      <c r="C297" s="99"/>
      <c r="D297" s="99"/>
      <c r="E297" s="99"/>
      <c r="F297" s="99"/>
      <c r="G297" s="99"/>
      <c r="H297" s="99"/>
      <c r="I297" s="99"/>
      <c r="J297" s="99"/>
      <c r="K297" s="99"/>
      <c r="L297" s="65" t="s">
        <v>226</v>
      </c>
    </row>
    <row r="298" spans="1:12" ht="15">
      <c r="A298" s="69"/>
      <c r="B298" s="69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1:12" ht="15">
      <c r="A299" s="34"/>
      <c r="B299" s="35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</row>
    <row r="300" spans="1:12" ht="15.75">
      <c r="A300" s="34"/>
      <c r="B300" s="35"/>
      <c r="C300" s="36"/>
      <c r="D300" s="36"/>
      <c r="E300" s="36"/>
      <c r="F300" s="37"/>
      <c r="G300" s="38"/>
      <c r="H300" s="37"/>
      <c r="I300" s="37"/>
      <c r="J300" s="37"/>
      <c r="K300" s="38"/>
      <c r="L300" s="37"/>
    </row>
    <row r="301" spans="1:12" ht="15.75">
      <c r="A301" s="31"/>
      <c r="B301" s="28"/>
      <c r="C301" s="32"/>
      <c r="D301" s="32"/>
      <c r="E301" s="32"/>
      <c r="F301" s="32"/>
      <c r="G301" s="33"/>
      <c r="H301" s="32"/>
      <c r="I301" s="32"/>
      <c r="J301" s="32"/>
      <c r="K301" s="33"/>
      <c r="L301" s="25" t="s">
        <v>157</v>
      </c>
    </row>
    <row r="302" spans="1:12" ht="15.75">
      <c r="A302" s="116" t="s">
        <v>14</v>
      </c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1:12" ht="15.75">
      <c r="A303" s="116" t="s">
        <v>0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1:12" ht="15.75">
      <c r="A304" s="117" t="s">
        <v>1</v>
      </c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1:12" ht="15.75">
      <c r="A305" s="116" t="s">
        <v>2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1:12" ht="15.75">
      <c r="A306" s="116" t="str">
        <f>A157</f>
        <v>JANEIRO A JUNHO 2022/BIMESTRE MAIO - JUNHO</v>
      </c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1:12" ht="15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5" t="str">
        <f>L158</f>
        <v>Emissão: 19/07/2022</v>
      </c>
    </row>
    <row r="308" spans="1:12" ht="15.75">
      <c r="A308" s="27" t="s">
        <v>240</v>
      </c>
      <c r="B308" s="26"/>
      <c r="C308" s="28"/>
      <c r="D308" s="26"/>
      <c r="E308" s="26"/>
      <c r="F308" s="29"/>
      <c r="G308" s="29"/>
      <c r="H308" s="29"/>
      <c r="I308" s="26"/>
      <c r="J308" s="26"/>
      <c r="K308" s="25"/>
      <c r="L308" s="30">
        <v>1</v>
      </c>
    </row>
    <row r="309" spans="1:12" ht="15.75">
      <c r="A309" s="11"/>
      <c r="B309" s="12"/>
      <c r="C309" s="13" t="s">
        <v>3</v>
      </c>
      <c r="D309" s="13" t="s">
        <v>3</v>
      </c>
      <c r="E309" s="118" t="s">
        <v>4</v>
      </c>
      <c r="F309" s="119"/>
      <c r="G309" s="120"/>
      <c r="H309" s="13" t="s">
        <v>18</v>
      </c>
      <c r="I309" s="118" t="s">
        <v>5</v>
      </c>
      <c r="J309" s="119"/>
      <c r="K309" s="120"/>
      <c r="L309" s="14" t="s">
        <v>18</v>
      </c>
    </row>
    <row r="310" spans="1:12" ht="15.75">
      <c r="A310" s="15" t="s">
        <v>23</v>
      </c>
      <c r="B310" s="16" t="s">
        <v>265</v>
      </c>
      <c r="C310" s="16" t="s">
        <v>7</v>
      </c>
      <c r="D310" s="16" t="s">
        <v>8</v>
      </c>
      <c r="E310" s="16" t="s">
        <v>9</v>
      </c>
      <c r="F310" s="16" t="s">
        <v>10</v>
      </c>
      <c r="G310" s="16" t="s">
        <v>11</v>
      </c>
      <c r="H310" s="17"/>
      <c r="I310" s="16" t="s">
        <v>9</v>
      </c>
      <c r="J310" s="16" t="s">
        <v>10</v>
      </c>
      <c r="K310" s="16" t="s">
        <v>11</v>
      </c>
      <c r="L310" s="18"/>
    </row>
    <row r="311" spans="1:12" ht="15.75">
      <c r="A311" s="19"/>
      <c r="B311" s="20"/>
      <c r="C311" s="20"/>
      <c r="D311" s="21" t="s">
        <v>12</v>
      </c>
      <c r="E311" s="21"/>
      <c r="F311" s="21" t="s">
        <v>13</v>
      </c>
      <c r="G311" s="21" t="s">
        <v>266</v>
      </c>
      <c r="H311" s="22" t="s">
        <v>19</v>
      </c>
      <c r="I311" s="21"/>
      <c r="J311" s="21" t="s">
        <v>20</v>
      </c>
      <c r="K311" s="21" t="s">
        <v>267</v>
      </c>
      <c r="L311" s="23" t="s">
        <v>22</v>
      </c>
    </row>
    <row r="312" spans="1:12" ht="14.25">
      <c r="A312" s="47"/>
      <c r="B312" s="71" t="s">
        <v>16</v>
      </c>
      <c r="C312" s="90">
        <f>C313+C318+C321+C326+C333+C339+C343+C345+C349+C352+C360+C363+C366+C369+C371+C373+C375+C380+C385+C387+C390+C393+C397+C400</f>
        <v>5479454544</v>
      </c>
      <c r="D312" s="90">
        <f>D313+D318+D321+D326+D333+D339+D343+D345+D349+D352+D360+D363+D366+D369+D371+D373+D375+D380+D385+D387+D390+D393+D397+D400</f>
        <v>5745852322.51</v>
      </c>
      <c r="E312" s="90">
        <f>E313+E318+E321+E326+E333+E339+E343+E345+E349+E352+E360+E363+E366+E369+E371+E373+E375+E380+E385+E387+E390+E393+E397+E400</f>
        <v>792208395.9099998</v>
      </c>
      <c r="F312" s="90">
        <f>F313+F318+F321+F326+F333+F339+F343+F345+F349+F352+F360+F363+F366+F369+F371+F373+F375+F380+F385+F387+F390+F393+F397+F400</f>
        <v>3236062537.96</v>
      </c>
      <c r="G312" s="70">
        <f aca="true" t="shared" si="47" ref="G312:G341">(F312/$F$296)*100</f>
        <v>6.424527672044715</v>
      </c>
      <c r="H312" s="90">
        <f>D312-F312</f>
        <v>2509789784.55</v>
      </c>
      <c r="I312" s="90">
        <f>I313+I318+I321+I326+I333+I339+I343+I345+I349+I352+I360+I363+I366+I369+I371+I373+I375+I380+I385+I387+I390+I393+I397+I400</f>
        <v>848894256.2499998</v>
      </c>
      <c r="J312" s="90">
        <f>J313+J318+J321+J326+J333+J339+J343+J345+J349+J352+J360+J363+J366+J369+J371+J373+J375+J380+J385+J387+J390+J393+J397+J400</f>
        <v>2644551237.5299997</v>
      </c>
      <c r="K312" s="72">
        <f aca="true" t="shared" si="48" ref="K312:K341">(J312/$J$296)*100</f>
        <v>6.5629992686493885</v>
      </c>
      <c r="L312" s="91">
        <f>D312-J312</f>
        <v>3101301084.9800005</v>
      </c>
    </row>
    <row r="313" spans="1:12" ht="14.25">
      <c r="A313" s="47" t="s">
        <v>25</v>
      </c>
      <c r="B313" s="71" t="s">
        <v>24</v>
      </c>
      <c r="C313" s="81">
        <f>SUM(C314:C317)</f>
        <v>149594133</v>
      </c>
      <c r="D313" s="81">
        <f>SUM(D314:D317)</f>
        <v>149894133</v>
      </c>
      <c r="E313" s="81">
        <f>SUM(E314:E317)</f>
        <v>9949201.04</v>
      </c>
      <c r="F313" s="81">
        <f>SUM(F314:F317)</f>
        <v>67226649.77</v>
      </c>
      <c r="G313" s="70">
        <f t="shared" si="47"/>
        <v>0.13346450097299142</v>
      </c>
      <c r="H313" s="81">
        <f t="shared" si="45"/>
        <v>82667483.23</v>
      </c>
      <c r="I313" s="81">
        <f>SUM(I314:I316)</f>
        <v>21585264.500000004</v>
      </c>
      <c r="J313" s="81">
        <f>SUM(J314:J316)</f>
        <v>53882533.24</v>
      </c>
      <c r="K313" s="51">
        <f t="shared" si="48"/>
        <v>0.1337206181633245</v>
      </c>
      <c r="L313" s="91">
        <f t="shared" si="44"/>
        <v>96011599.75999999</v>
      </c>
    </row>
    <row r="314" spans="1:12" ht="15">
      <c r="A314" s="52" t="s">
        <v>26</v>
      </c>
      <c r="B314" s="66" t="s">
        <v>31</v>
      </c>
      <c r="C314" s="82">
        <v>2000000</v>
      </c>
      <c r="D314" s="82">
        <v>2000000</v>
      </c>
      <c r="E314" s="82">
        <f>F314-0</f>
        <v>0</v>
      </c>
      <c r="F314" s="82">
        <v>0</v>
      </c>
      <c r="G314" s="70">
        <f t="shared" si="47"/>
        <v>0</v>
      </c>
      <c r="H314" s="81">
        <f t="shared" si="45"/>
        <v>2000000</v>
      </c>
      <c r="I314" s="82">
        <f>J314-0</f>
        <v>0</v>
      </c>
      <c r="J314" s="82">
        <v>0</v>
      </c>
      <c r="K314" s="51">
        <f t="shared" si="48"/>
        <v>0</v>
      </c>
      <c r="L314" s="92">
        <f t="shared" si="44"/>
        <v>2000000</v>
      </c>
    </row>
    <row r="315" spans="1:12" ht="15">
      <c r="A315" s="52" t="s">
        <v>28</v>
      </c>
      <c r="B315" s="66" t="s">
        <v>33</v>
      </c>
      <c r="C315" s="82">
        <v>147584133</v>
      </c>
      <c r="D315" s="82">
        <v>147884133</v>
      </c>
      <c r="E315" s="82">
        <f>F315-57277448.73</f>
        <v>9949201.04</v>
      </c>
      <c r="F315" s="82">
        <v>67226649.77</v>
      </c>
      <c r="G315" s="70">
        <f t="shared" si="47"/>
        <v>0.13346450097299142</v>
      </c>
      <c r="H315" s="82">
        <f>D315-F315</f>
        <v>80657483.23</v>
      </c>
      <c r="I315" s="82">
        <f>J315-32297268.74</f>
        <v>21585264.500000004</v>
      </c>
      <c r="J315" s="82">
        <v>53882533.24</v>
      </c>
      <c r="K315" s="51">
        <f t="shared" si="48"/>
        <v>0.1337206181633245</v>
      </c>
      <c r="L315" s="92">
        <f>D315-J315</f>
        <v>94001599.75999999</v>
      </c>
    </row>
    <row r="316" spans="1:12" ht="15">
      <c r="A316" s="52" t="s">
        <v>50</v>
      </c>
      <c r="B316" s="66" t="s">
        <v>57</v>
      </c>
      <c r="C316" s="82">
        <v>0</v>
      </c>
      <c r="D316" s="82">
        <v>0</v>
      </c>
      <c r="E316" s="82">
        <f>F316-0</f>
        <v>0</v>
      </c>
      <c r="F316" s="82">
        <v>0</v>
      </c>
      <c r="G316" s="64">
        <f t="shared" si="47"/>
        <v>0</v>
      </c>
      <c r="H316" s="82">
        <f t="shared" si="45"/>
        <v>0</v>
      </c>
      <c r="I316" s="82">
        <f>J316-0</f>
        <v>0</v>
      </c>
      <c r="J316" s="82">
        <v>0</v>
      </c>
      <c r="K316" s="56">
        <f t="shared" si="48"/>
        <v>0</v>
      </c>
      <c r="L316" s="92">
        <f t="shared" si="44"/>
        <v>0</v>
      </c>
    </row>
    <row r="317" spans="1:12" ht="15">
      <c r="A317" s="101" t="s">
        <v>29</v>
      </c>
      <c r="B317" s="105" t="s">
        <v>34</v>
      </c>
      <c r="C317" s="98">
        <v>10000</v>
      </c>
      <c r="D317" s="98">
        <v>10000</v>
      </c>
      <c r="E317" s="98">
        <f>F317-0</f>
        <v>0</v>
      </c>
      <c r="F317" s="98">
        <v>0</v>
      </c>
      <c r="G317" s="106">
        <f t="shared" si="47"/>
        <v>0</v>
      </c>
      <c r="H317" s="98">
        <f t="shared" si="45"/>
        <v>10000</v>
      </c>
      <c r="I317" s="98">
        <v>0</v>
      </c>
      <c r="J317" s="98">
        <v>0</v>
      </c>
      <c r="K317" s="107">
        <f t="shared" si="48"/>
        <v>0</v>
      </c>
      <c r="L317" s="108">
        <f t="shared" si="44"/>
        <v>10000</v>
      </c>
    </row>
    <row r="318" spans="1:12" ht="14.25">
      <c r="A318" s="47" t="s">
        <v>36</v>
      </c>
      <c r="B318" s="71" t="s">
        <v>37</v>
      </c>
      <c r="C318" s="81">
        <f>SUM(C319:C320)</f>
        <v>516059738</v>
      </c>
      <c r="D318" s="81">
        <f>SUM(D319:D320)</f>
        <v>516059738</v>
      </c>
      <c r="E318" s="81">
        <f>SUM(E319:E320)</f>
        <v>109151166.29999998</v>
      </c>
      <c r="F318" s="81">
        <f>SUM(F319:F320)</f>
        <v>287967897.89</v>
      </c>
      <c r="G318" s="70">
        <f t="shared" si="47"/>
        <v>0.5717002397058496</v>
      </c>
      <c r="H318" s="81">
        <f t="shared" si="45"/>
        <v>228091840.11</v>
      </c>
      <c r="I318" s="81">
        <f>SUM(I319:I320)</f>
        <v>109151166.29999998</v>
      </c>
      <c r="J318" s="81">
        <f>SUM(J319:J320)</f>
        <v>287967897.89</v>
      </c>
      <c r="K318" s="51">
        <f t="shared" si="48"/>
        <v>0.7146517248089932</v>
      </c>
      <c r="L318" s="91">
        <f t="shared" si="44"/>
        <v>228091840.11</v>
      </c>
    </row>
    <row r="319" spans="1:12" ht="15">
      <c r="A319" s="52" t="s">
        <v>38</v>
      </c>
      <c r="B319" s="66" t="s">
        <v>40</v>
      </c>
      <c r="C319" s="82">
        <v>100000</v>
      </c>
      <c r="D319" s="82">
        <v>100000</v>
      </c>
      <c r="E319" s="82">
        <f>F319-78.26</f>
        <v>0</v>
      </c>
      <c r="F319" s="82">
        <v>78.26</v>
      </c>
      <c r="G319" s="64">
        <f t="shared" si="47"/>
        <v>1.553689181579204E-07</v>
      </c>
      <c r="H319" s="82">
        <f t="shared" si="45"/>
        <v>99921.74</v>
      </c>
      <c r="I319" s="82">
        <f>J319-78.26</f>
        <v>0</v>
      </c>
      <c r="J319" s="82">
        <v>78.26</v>
      </c>
      <c r="K319" s="56">
        <f t="shared" si="48"/>
        <v>1.9421832917263516E-07</v>
      </c>
      <c r="L319" s="92">
        <f t="shared" si="44"/>
        <v>99921.74</v>
      </c>
    </row>
    <row r="320" spans="1:12" ht="15">
      <c r="A320" s="52" t="s">
        <v>28</v>
      </c>
      <c r="B320" s="66" t="s">
        <v>33</v>
      </c>
      <c r="C320" s="82">
        <v>515959738</v>
      </c>
      <c r="D320" s="82">
        <v>515959738</v>
      </c>
      <c r="E320" s="82">
        <f>F320-178816653.33</f>
        <v>109151166.29999998</v>
      </c>
      <c r="F320" s="82">
        <v>287967819.63</v>
      </c>
      <c r="G320" s="64">
        <f t="shared" si="47"/>
        <v>0.5717000843369314</v>
      </c>
      <c r="H320" s="82">
        <f t="shared" si="45"/>
        <v>227991918.37</v>
      </c>
      <c r="I320" s="82">
        <f>J320-178816653.33</f>
        <v>109151166.29999998</v>
      </c>
      <c r="J320" s="82">
        <v>287967819.63</v>
      </c>
      <c r="K320" s="56">
        <f t="shared" si="48"/>
        <v>0.714651530590664</v>
      </c>
      <c r="L320" s="92">
        <f t="shared" si="44"/>
        <v>227991918.37</v>
      </c>
    </row>
    <row r="321" spans="1:12" ht="14.25">
      <c r="A321" s="47" t="s">
        <v>42</v>
      </c>
      <c r="B321" s="71" t="s">
        <v>43</v>
      </c>
      <c r="C321" s="81">
        <f>SUM(C322:C325)</f>
        <v>358470206</v>
      </c>
      <c r="D321" s="81">
        <f>SUM(D322:D325)</f>
        <v>404548249.76</v>
      </c>
      <c r="E321" s="81">
        <f>SUM(E322:E325)</f>
        <v>26759265.97</v>
      </c>
      <c r="F321" s="81">
        <f>SUM(F322:F325)</f>
        <v>240181745.66</v>
      </c>
      <c r="G321" s="70">
        <f t="shared" si="47"/>
        <v>0.47683079458823147</v>
      </c>
      <c r="H321" s="81">
        <f>D321-F321</f>
        <v>164366504.1</v>
      </c>
      <c r="I321" s="81">
        <f>SUM(I322+I323+I324+I325)</f>
        <v>67567772.71000001</v>
      </c>
      <c r="J321" s="81">
        <f>SUM(J322+J323+J324+J325)</f>
        <v>185548701.84</v>
      </c>
      <c r="K321" s="51">
        <f t="shared" si="48"/>
        <v>0.4604773684068011</v>
      </c>
      <c r="L321" s="91">
        <f t="shared" si="44"/>
        <v>218999547.92</v>
      </c>
    </row>
    <row r="322" spans="1:12" ht="15">
      <c r="A322" s="52" t="s">
        <v>44</v>
      </c>
      <c r="B322" s="66" t="s">
        <v>45</v>
      </c>
      <c r="C322" s="81">
        <v>0</v>
      </c>
      <c r="D322" s="82">
        <v>0</v>
      </c>
      <c r="E322" s="82">
        <f>F322-0</f>
        <v>0</v>
      </c>
      <c r="F322" s="82">
        <v>0</v>
      </c>
      <c r="G322" s="70">
        <f t="shared" si="47"/>
        <v>0</v>
      </c>
      <c r="H322" s="81">
        <f>D322-F322</f>
        <v>0</v>
      </c>
      <c r="I322" s="81">
        <f>J322-0</f>
        <v>0</v>
      </c>
      <c r="J322" s="81">
        <v>0</v>
      </c>
      <c r="K322" s="51"/>
      <c r="L322" s="91">
        <f t="shared" si="44"/>
        <v>0</v>
      </c>
    </row>
    <row r="323" spans="1:12" ht="15">
      <c r="A323" s="52" t="s">
        <v>229</v>
      </c>
      <c r="B323" s="66" t="s">
        <v>230</v>
      </c>
      <c r="C323" s="82">
        <v>500000</v>
      </c>
      <c r="D323" s="82">
        <v>500000</v>
      </c>
      <c r="E323" s="82">
        <f>F323-0</f>
        <v>0</v>
      </c>
      <c r="F323" s="82">
        <v>0</v>
      </c>
      <c r="G323" s="64">
        <f t="shared" si="47"/>
        <v>0</v>
      </c>
      <c r="H323" s="82">
        <f>D323-F323</f>
        <v>500000</v>
      </c>
      <c r="I323" s="82">
        <f>J323-0</f>
        <v>0</v>
      </c>
      <c r="J323" s="82">
        <v>0</v>
      </c>
      <c r="K323" s="56">
        <f t="shared" si="48"/>
        <v>0</v>
      </c>
      <c r="L323" s="92">
        <f t="shared" si="44"/>
        <v>500000</v>
      </c>
    </row>
    <row r="324" spans="1:12" ht="15">
      <c r="A324" s="52" t="s">
        <v>28</v>
      </c>
      <c r="B324" s="66" t="s">
        <v>33</v>
      </c>
      <c r="C324" s="82">
        <v>357730206</v>
      </c>
      <c r="D324" s="82">
        <v>403416249.76</v>
      </c>
      <c r="E324" s="82">
        <f>F324-213383413.69</f>
        <v>26571165.97</v>
      </c>
      <c r="F324" s="82">
        <v>239954579.66</v>
      </c>
      <c r="G324" s="64">
        <f t="shared" si="47"/>
        <v>0.47637980384376094</v>
      </c>
      <c r="H324" s="82">
        <f t="shared" si="45"/>
        <v>163461670.1</v>
      </c>
      <c r="I324" s="82">
        <f>J324-117974167.13</f>
        <v>67556738.71000001</v>
      </c>
      <c r="J324" s="82">
        <v>185530905.84</v>
      </c>
      <c r="K324" s="56">
        <f t="shared" si="48"/>
        <v>0.4604332039628201</v>
      </c>
      <c r="L324" s="92">
        <f t="shared" si="44"/>
        <v>217885343.92</v>
      </c>
    </row>
    <row r="325" spans="1:12" ht="15">
      <c r="A325" s="52" t="s">
        <v>29</v>
      </c>
      <c r="B325" s="66" t="s">
        <v>263</v>
      </c>
      <c r="C325" s="82">
        <v>240000</v>
      </c>
      <c r="D325" s="82">
        <v>632000</v>
      </c>
      <c r="E325" s="82">
        <f>F325-39066</f>
        <v>188100</v>
      </c>
      <c r="F325" s="82">
        <v>227166</v>
      </c>
      <c r="G325" s="64">
        <f t="shared" si="47"/>
        <v>0.00045099074447051043</v>
      </c>
      <c r="H325" s="82">
        <f t="shared" si="45"/>
        <v>404834</v>
      </c>
      <c r="I325" s="82">
        <f>J325-6762</f>
        <v>11034</v>
      </c>
      <c r="J325" s="82">
        <v>17796</v>
      </c>
      <c r="K325" s="56">
        <f t="shared" si="48"/>
        <v>4.416444398104031E-05</v>
      </c>
      <c r="L325" s="92">
        <f t="shared" si="44"/>
        <v>614204</v>
      </c>
    </row>
    <row r="326" spans="1:12" ht="14.25">
      <c r="A326" s="47" t="s">
        <v>46</v>
      </c>
      <c r="B326" s="71" t="s">
        <v>47</v>
      </c>
      <c r="C326" s="81">
        <f>SUM(C327:C332)</f>
        <v>151749813</v>
      </c>
      <c r="D326" s="81">
        <f>SUM(D327:D332)</f>
        <v>197175738.93</v>
      </c>
      <c r="E326" s="81">
        <f>SUM(E327:E332)</f>
        <v>26023952.36999999</v>
      </c>
      <c r="F326" s="81">
        <f>SUM(F327:F332)</f>
        <v>82741861.64999999</v>
      </c>
      <c r="G326" s="70">
        <f t="shared" si="47"/>
        <v>0.1642667203032561</v>
      </c>
      <c r="H326" s="81">
        <f t="shared" si="45"/>
        <v>114433877.28000002</v>
      </c>
      <c r="I326" s="81">
        <f>SUM(I327:I332)</f>
        <v>28129457.619999997</v>
      </c>
      <c r="J326" s="81">
        <f>SUM(J327:J332)</f>
        <v>74892411.14</v>
      </c>
      <c r="K326" s="51">
        <f t="shared" si="48"/>
        <v>0.18586096293535456</v>
      </c>
      <c r="L326" s="91">
        <f t="shared" si="44"/>
        <v>122283327.79</v>
      </c>
    </row>
    <row r="327" spans="1:12" ht="15">
      <c r="A327" s="52" t="s">
        <v>28</v>
      </c>
      <c r="B327" s="66" t="s">
        <v>33</v>
      </c>
      <c r="C327" s="82">
        <v>150603768</v>
      </c>
      <c r="D327" s="82">
        <v>160809359.93</v>
      </c>
      <c r="E327" s="82">
        <f>F327-56418453.6</f>
        <v>25874229.96999999</v>
      </c>
      <c r="F327" s="98">
        <v>82292683.57</v>
      </c>
      <c r="G327" s="64">
        <f t="shared" si="47"/>
        <v>0.16337497084823627</v>
      </c>
      <c r="H327" s="82">
        <f t="shared" si="45"/>
        <v>78516676.36000001</v>
      </c>
      <c r="I327" s="82">
        <f>J327-46538369.92</f>
        <v>27904874.019999996</v>
      </c>
      <c r="J327" s="82">
        <v>74443243.94</v>
      </c>
      <c r="K327" s="56">
        <f t="shared" si="48"/>
        <v>0.184746261899025</v>
      </c>
      <c r="L327" s="92">
        <f t="shared" si="44"/>
        <v>86366115.99000001</v>
      </c>
    </row>
    <row r="328" spans="1:12" ht="15">
      <c r="A328" s="52" t="s">
        <v>39</v>
      </c>
      <c r="B328" s="66" t="s">
        <v>41</v>
      </c>
      <c r="C328" s="82">
        <v>1129666</v>
      </c>
      <c r="D328" s="82">
        <v>500000</v>
      </c>
      <c r="E328" s="82">
        <f>F328-0</f>
        <v>0</v>
      </c>
      <c r="F328" s="82">
        <v>0</v>
      </c>
      <c r="G328" s="64">
        <f t="shared" si="47"/>
        <v>0</v>
      </c>
      <c r="H328" s="82">
        <f t="shared" si="45"/>
        <v>500000</v>
      </c>
      <c r="I328" s="82">
        <f>J328-0</f>
        <v>0</v>
      </c>
      <c r="J328" s="82">
        <v>0</v>
      </c>
      <c r="K328" s="56">
        <f t="shared" si="48"/>
        <v>0</v>
      </c>
      <c r="L328" s="92">
        <f t="shared" si="44"/>
        <v>500000</v>
      </c>
    </row>
    <row r="329" spans="1:15" ht="15">
      <c r="A329" s="101" t="s">
        <v>232</v>
      </c>
      <c r="B329" s="105" t="s">
        <v>231</v>
      </c>
      <c r="C329" s="98">
        <v>16379</v>
      </c>
      <c r="D329" s="98">
        <v>16379</v>
      </c>
      <c r="E329" s="98">
        <f>F329-0</f>
        <v>0</v>
      </c>
      <c r="F329" s="98">
        <v>0</v>
      </c>
      <c r="G329" s="106">
        <f t="shared" si="47"/>
        <v>0</v>
      </c>
      <c r="H329" s="98">
        <f t="shared" si="45"/>
        <v>16379</v>
      </c>
      <c r="I329" s="98">
        <f>J329-0</f>
        <v>0</v>
      </c>
      <c r="J329" s="98">
        <v>0</v>
      </c>
      <c r="K329" s="107">
        <f t="shared" si="48"/>
        <v>0</v>
      </c>
      <c r="L329" s="108">
        <f t="shared" si="44"/>
        <v>16379</v>
      </c>
      <c r="N329" s="114"/>
      <c r="O329" s="114"/>
    </row>
    <row r="330" spans="1:12" ht="15">
      <c r="A330" s="52" t="s">
        <v>236</v>
      </c>
      <c r="B330" s="66" t="s">
        <v>235</v>
      </c>
      <c r="C330" s="82">
        <v>0</v>
      </c>
      <c r="D330" s="82">
        <v>500000</v>
      </c>
      <c r="E330" s="82">
        <f>F330-299455.68</f>
        <v>149722.40000000002</v>
      </c>
      <c r="F330" s="82">
        <v>449178.08</v>
      </c>
      <c r="G330" s="64">
        <f t="shared" si="47"/>
        <v>0.0008917494550198292</v>
      </c>
      <c r="H330" s="82">
        <f t="shared" si="45"/>
        <v>50821.919999999984</v>
      </c>
      <c r="I330" s="82">
        <f>J330-224583.6</f>
        <v>224583.6</v>
      </c>
      <c r="J330" s="82">
        <v>449167.2</v>
      </c>
      <c r="K330" s="56">
        <f t="shared" si="48"/>
        <v>0.0011147010363295534</v>
      </c>
      <c r="L330" s="92">
        <f t="shared" si="44"/>
        <v>50832.79999999999</v>
      </c>
    </row>
    <row r="331" spans="1:12" ht="15">
      <c r="A331" s="52" t="s">
        <v>96</v>
      </c>
      <c r="B331" s="66" t="s">
        <v>102</v>
      </c>
      <c r="C331" s="82">
        <v>0</v>
      </c>
      <c r="D331" s="82">
        <v>13350000</v>
      </c>
      <c r="E331" s="82">
        <f>F331-0</f>
        <v>0</v>
      </c>
      <c r="F331" s="82">
        <v>0</v>
      </c>
      <c r="G331" s="64">
        <f t="shared" si="47"/>
        <v>0</v>
      </c>
      <c r="H331" s="82">
        <v>0</v>
      </c>
      <c r="I331" s="82">
        <f>J331-0</f>
        <v>0</v>
      </c>
      <c r="J331" s="82">
        <v>0</v>
      </c>
      <c r="K331" s="56">
        <f t="shared" si="48"/>
        <v>0</v>
      </c>
      <c r="L331" s="92">
        <f t="shared" si="44"/>
        <v>13350000</v>
      </c>
    </row>
    <row r="332" spans="1:12" ht="15">
      <c r="A332" s="52" t="s">
        <v>97</v>
      </c>
      <c r="B332" s="66" t="s">
        <v>237</v>
      </c>
      <c r="C332" s="82">
        <v>0</v>
      </c>
      <c r="D332" s="82">
        <v>22000000</v>
      </c>
      <c r="E332" s="82">
        <f>F332-0</f>
        <v>0</v>
      </c>
      <c r="F332" s="82">
        <v>0</v>
      </c>
      <c r="G332" s="64">
        <f t="shared" si="47"/>
        <v>0</v>
      </c>
      <c r="H332" s="82">
        <v>0</v>
      </c>
      <c r="I332" s="82">
        <f>J332-0</f>
        <v>0</v>
      </c>
      <c r="J332" s="82">
        <v>0</v>
      </c>
      <c r="K332" s="56">
        <f t="shared" si="48"/>
        <v>0</v>
      </c>
      <c r="L332" s="92">
        <f t="shared" si="44"/>
        <v>22000000</v>
      </c>
    </row>
    <row r="333" spans="1:12" ht="14.25">
      <c r="A333" s="47" t="s">
        <v>63</v>
      </c>
      <c r="B333" s="71" t="s">
        <v>62</v>
      </c>
      <c r="C333" s="81">
        <f>SUM(C334:C338)</f>
        <v>907389641</v>
      </c>
      <c r="D333" s="81">
        <f>SUM(D334:D338)</f>
        <v>948495377</v>
      </c>
      <c r="E333" s="81">
        <f>SUM(E334:E338)</f>
        <v>153677752.57999998</v>
      </c>
      <c r="F333" s="81">
        <f>SUM(F334:F338)</f>
        <v>458605092.71</v>
      </c>
      <c r="G333" s="70">
        <f t="shared" si="47"/>
        <v>0.9104648238699908</v>
      </c>
      <c r="H333" s="81">
        <f t="shared" si="45"/>
        <v>489890284.29</v>
      </c>
      <c r="I333" s="81">
        <f>SUM(I334:I338)</f>
        <v>153003882.13000003</v>
      </c>
      <c r="J333" s="81">
        <f>SUM(J334:J338)</f>
        <v>456447277.17</v>
      </c>
      <c r="K333" s="51">
        <f t="shared" si="48"/>
        <v>1.1327680491612075</v>
      </c>
      <c r="L333" s="91">
        <f t="shared" si="44"/>
        <v>492048099.83</v>
      </c>
    </row>
    <row r="334" spans="1:12" ht="15">
      <c r="A334" s="52" t="s">
        <v>28</v>
      </c>
      <c r="B334" s="66" t="s">
        <v>33</v>
      </c>
      <c r="C334" s="82">
        <v>786768000</v>
      </c>
      <c r="D334" s="82">
        <v>828878000</v>
      </c>
      <c r="E334" s="82">
        <f>F334-273914477.5</f>
        <v>142512095.39</v>
      </c>
      <c r="F334" s="82">
        <v>416426572.89</v>
      </c>
      <c r="G334" s="64">
        <f t="shared" si="47"/>
        <v>0.8267281640957027</v>
      </c>
      <c r="H334" s="82">
        <f t="shared" si="45"/>
        <v>412451427.11</v>
      </c>
      <c r="I334" s="82">
        <f>J334-272553299.57</f>
        <v>141914369.85000002</v>
      </c>
      <c r="J334" s="82">
        <v>414467669.42</v>
      </c>
      <c r="K334" s="56">
        <f t="shared" si="48"/>
        <v>1.0285869952827562</v>
      </c>
      <c r="L334" s="92">
        <f t="shared" si="44"/>
        <v>414410330.58</v>
      </c>
    </row>
    <row r="335" spans="1:12" ht="15">
      <c r="A335" s="52" t="s">
        <v>49</v>
      </c>
      <c r="B335" s="66" t="s">
        <v>56</v>
      </c>
      <c r="C335" s="82">
        <v>118554828</v>
      </c>
      <c r="D335" s="82">
        <v>118554828</v>
      </c>
      <c r="E335" s="82">
        <f>F335-30762862.63</f>
        <v>10765657.190000001</v>
      </c>
      <c r="F335" s="82">
        <v>41528519.82</v>
      </c>
      <c r="G335" s="64">
        <f t="shared" si="47"/>
        <v>0.08244622025470426</v>
      </c>
      <c r="H335" s="82">
        <f t="shared" si="45"/>
        <v>77026308.18</v>
      </c>
      <c r="I335" s="82">
        <f>J335-30753012.17</f>
        <v>10766469.989999995</v>
      </c>
      <c r="J335" s="82">
        <v>41519482.16</v>
      </c>
      <c r="K335" s="56">
        <f t="shared" si="48"/>
        <v>0.10303915733744226</v>
      </c>
      <c r="L335" s="92">
        <f t="shared" si="44"/>
        <v>77035345.84</v>
      </c>
    </row>
    <row r="336" spans="1:12" ht="15">
      <c r="A336" s="52" t="s">
        <v>29</v>
      </c>
      <c r="B336" s="66" t="s">
        <v>34</v>
      </c>
      <c r="C336" s="82">
        <v>2062549</v>
      </c>
      <c r="D336" s="82">
        <v>1062549</v>
      </c>
      <c r="E336" s="82">
        <f>F336-250000</f>
        <v>400000</v>
      </c>
      <c r="F336" s="82">
        <v>650000</v>
      </c>
      <c r="G336" s="64">
        <f t="shared" si="47"/>
        <v>0.0012904395195840565</v>
      </c>
      <c r="H336" s="82">
        <f t="shared" si="45"/>
        <v>412549</v>
      </c>
      <c r="I336" s="82">
        <f>J336-137083.3</f>
        <v>323042.29000000004</v>
      </c>
      <c r="J336" s="82">
        <v>460125.59</v>
      </c>
      <c r="K336" s="56">
        <f t="shared" si="48"/>
        <v>0.0011418965410091102</v>
      </c>
      <c r="L336" s="92">
        <f t="shared" si="44"/>
        <v>602423.4099999999</v>
      </c>
    </row>
    <row r="337" spans="1:12" ht="15">
      <c r="A337" s="52" t="s">
        <v>64</v>
      </c>
      <c r="B337" s="66" t="s">
        <v>72</v>
      </c>
      <c r="C337" s="82">
        <v>4264</v>
      </c>
      <c r="D337" s="82">
        <v>0</v>
      </c>
      <c r="E337" s="82">
        <f>F337-0</f>
        <v>0</v>
      </c>
      <c r="F337" s="82">
        <v>0</v>
      </c>
      <c r="G337" s="64">
        <f t="shared" si="47"/>
        <v>0</v>
      </c>
      <c r="H337" s="82">
        <f t="shared" si="45"/>
        <v>0</v>
      </c>
      <c r="I337" s="82">
        <f>J337-0</f>
        <v>0</v>
      </c>
      <c r="J337" s="82">
        <v>0</v>
      </c>
      <c r="K337" s="56">
        <f t="shared" si="48"/>
        <v>0</v>
      </c>
      <c r="L337" s="92">
        <f t="shared" si="44"/>
        <v>0</v>
      </c>
    </row>
    <row r="338" spans="1:12" ht="15">
      <c r="A338" s="52" t="s">
        <v>65</v>
      </c>
      <c r="B338" s="66" t="s">
        <v>73</v>
      </c>
      <c r="C338" s="82">
        <v>0</v>
      </c>
      <c r="D338" s="82">
        <v>0</v>
      </c>
      <c r="E338" s="82">
        <f>F338-0</f>
        <v>0</v>
      </c>
      <c r="F338" s="82">
        <v>0</v>
      </c>
      <c r="G338" s="64">
        <f t="shared" si="47"/>
        <v>0</v>
      </c>
      <c r="H338" s="82">
        <f t="shared" si="45"/>
        <v>0</v>
      </c>
      <c r="I338" s="82">
        <f>J338-0</f>
        <v>0</v>
      </c>
      <c r="J338" s="82">
        <v>0</v>
      </c>
      <c r="K338" s="56">
        <f t="shared" si="48"/>
        <v>0</v>
      </c>
      <c r="L338" s="92">
        <f t="shared" si="44"/>
        <v>0</v>
      </c>
    </row>
    <row r="339" spans="1:12" ht="14.25">
      <c r="A339" s="47" t="s">
        <v>81</v>
      </c>
      <c r="B339" s="71" t="s">
        <v>80</v>
      </c>
      <c r="C339" s="81">
        <f>SUM(C340:C342)</f>
        <v>8465754</v>
      </c>
      <c r="D339" s="81">
        <f>SUM(D340:D342)</f>
        <v>9176723.1</v>
      </c>
      <c r="E339" s="81">
        <f>SUM(E340:E342)</f>
        <v>1068471.8499999999</v>
      </c>
      <c r="F339" s="81">
        <f>SUM(F340:F342)</f>
        <v>2874201.9299999997</v>
      </c>
      <c r="G339" s="70">
        <f t="shared" si="47"/>
        <v>0.0057061288580565655</v>
      </c>
      <c r="H339" s="81">
        <f t="shared" si="45"/>
        <v>6302521.17</v>
      </c>
      <c r="I339" s="81">
        <f>SUM(I340:I342)</f>
        <v>1000305.7400000002</v>
      </c>
      <c r="J339" s="81">
        <f>SUM(J340:J342)</f>
        <v>2743905.4000000004</v>
      </c>
      <c r="K339" s="51">
        <f t="shared" si="48"/>
        <v>0.006809567112136101</v>
      </c>
      <c r="L339" s="91">
        <f t="shared" si="44"/>
        <v>6432817.699999999</v>
      </c>
    </row>
    <row r="340" spans="1:12" ht="15">
      <c r="A340" s="52" t="s">
        <v>28</v>
      </c>
      <c r="B340" s="66" t="s">
        <v>33</v>
      </c>
      <c r="C340" s="82">
        <v>8461843</v>
      </c>
      <c r="D340" s="82">
        <v>8872812.1</v>
      </c>
      <c r="E340" s="82">
        <f>F340-1733031.41</f>
        <v>978471.8499999999</v>
      </c>
      <c r="F340" s="82">
        <v>2711503.26</v>
      </c>
      <c r="G340" s="64">
        <f t="shared" si="47"/>
        <v>0.00538312456028462</v>
      </c>
      <c r="H340" s="82">
        <f>D340-F340</f>
        <v>6161308.84</v>
      </c>
      <c r="I340" s="82">
        <f>J340-1670900.99</f>
        <v>948428.5000000002</v>
      </c>
      <c r="J340" s="82">
        <v>2619329.49</v>
      </c>
      <c r="K340" s="56">
        <f t="shared" si="48"/>
        <v>0.0065004063007974774</v>
      </c>
      <c r="L340" s="92">
        <f>D340-J340</f>
        <v>6253482.609999999</v>
      </c>
    </row>
    <row r="341" spans="1:12" ht="15">
      <c r="A341" s="52" t="s">
        <v>82</v>
      </c>
      <c r="B341" s="66" t="s">
        <v>84</v>
      </c>
      <c r="C341" s="82">
        <v>3911</v>
      </c>
      <c r="D341" s="82">
        <v>303911</v>
      </c>
      <c r="E341" s="82">
        <f>F341-72698.67</f>
        <v>90000.00000000001</v>
      </c>
      <c r="F341" s="82">
        <v>162698.67</v>
      </c>
      <c r="G341" s="64">
        <f t="shared" si="47"/>
        <v>0.0003230042977719461</v>
      </c>
      <c r="H341" s="82">
        <f>D341-F341</f>
        <v>141212.33</v>
      </c>
      <c r="I341" s="82">
        <f>J341-72698.67</f>
        <v>51877.240000000005</v>
      </c>
      <c r="J341" s="82">
        <v>124575.91</v>
      </c>
      <c r="K341" s="56">
        <f t="shared" si="48"/>
        <v>0.0003091608113386222</v>
      </c>
      <c r="L341" s="92">
        <f>D341-J341</f>
        <v>179335.09</v>
      </c>
    </row>
    <row r="342" spans="1:12" ht="15">
      <c r="A342" s="52" t="s">
        <v>83</v>
      </c>
      <c r="B342" s="66" t="s">
        <v>264</v>
      </c>
      <c r="C342" s="82">
        <v>0</v>
      </c>
      <c r="D342" s="82">
        <v>0</v>
      </c>
      <c r="E342" s="82">
        <f>F342-0</f>
        <v>0</v>
      </c>
      <c r="F342" s="82">
        <v>0</v>
      </c>
      <c r="G342" s="64">
        <f aca="true" t="shared" si="49" ref="G342:G351">(F342/$F$296)*100</f>
        <v>0</v>
      </c>
      <c r="H342" s="82">
        <f t="shared" si="45"/>
        <v>0</v>
      </c>
      <c r="I342" s="82">
        <f>J342-0</f>
        <v>0</v>
      </c>
      <c r="J342" s="82">
        <v>0</v>
      </c>
      <c r="K342" s="56">
        <f aca="true" t="shared" si="50" ref="K342:K351">(J342/$J$296)*100</f>
        <v>0</v>
      </c>
      <c r="L342" s="92">
        <f t="shared" si="44"/>
        <v>0</v>
      </c>
    </row>
    <row r="343" spans="1:12" ht="14.25">
      <c r="A343" s="47" t="s">
        <v>87</v>
      </c>
      <c r="B343" s="71" t="s">
        <v>86</v>
      </c>
      <c r="C343" s="81">
        <f>C344</f>
        <v>163192661</v>
      </c>
      <c r="D343" s="81">
        <f>D344</f>
        <v>262642661</v>
      </c>
      <c r="E343" s="81">
        <f>E344</f>
        <v>1322311.6299999952</v>
      </c>
      <c r="F343" s="81">
        <f>F344</f>
        <v>101453335.08</v>
      </c>
      <c r="G343" s="70">
        <f t="shared" si="49"/>
        <v>0.20141445073974693</v>
      </c>
      <c r="H343" s="81">
        <f t="shared" si="45"/>
        <v>161189325.92000002</v>
      </c>
      <c r="I343" s="81">
        <f>I344</f>
        <v>1456850</v>
      </c>
      <c r="J343" s="81">
        <f>J344</f>
        <v>101056141.4</v>
      </c>
      <c r="K343" s="51">
        <f t="shared" si="50"/>
        <v>0.2507916551921999</v>
      </c>
      <c r="L343" s="91">
        <f t="shared" si="44"/>
        <v>161586519.6</v>
      </c>
    </row>
    <row r="344" spans="1:12" ht="15">
      <c r="A344" s="52" t="s">
        <v>28</v>
      </c>
      <c r="B344" s="66" t="s">
        <v>33</v>
      </c>
      <c r="C344" s="82">
        <v>163192661</v>
      </c>
      <c r="D344" s="82">
        <v>262642661</v>
      </c>
      <c r="E344" s="82">
        <f>F344-100131023.45</f>
        <v>1322311.6299999952</v>
      </c>
      <c r="F344" s="82">
        <v>101453335.08</v>
      </c>
      <c r="G344" s="64">
        <f t="shared" si="49"/>
        <v>0.20141445073974693</v>
      </c>
      <c r="H344" s="82">
        <f t="shared" si="45"/>
        <v>161189325.92000002</v>
      </c>
      <c r="I344" s="82">
        <f>J344-99599291.4</f>
        <v>1456850</v>
      </c>
      <c r="J344" s="82">
        <v>101056141.4</v>
      </c>
      <c r="K344" s="56">
        <f t="shared" si="50"/>
        <v>0.2507916551921999</v>
      </c>
      <c r="L344" s="92">
        <f t="shared" si="44"/>
        <v>161586519.6</v>
      </c>
    </row>
    <row r="345" spans="1:12" ht="14.25">
      <c r="A345" s="47" t="s">
        <v>90</v>
      </c>
      <c r="B345" s="71" t="s">
        <v>91</v>
      </c>
      <c r="C345" s="81">
        <f>SUM(C346:C348)</f>
        <v>1601898938</v>
      </c>
      <c r="D345" s="81">
        <f>SUM(D346:D348)</f>
        <v>1684908489.4</v>
      </c>
      <c r="E345" s="81">
        <f>SUM(E346:E348)</f>
        <v>350513817.50999993</v>
      </c>
      <c r="F345" s="81">
        <f>SUM(F346:F348)</f>
        <v>901761652.36</v>
      </c>
      <c r="G345" s="70">
        <f t="shared" si="49"/>
        <v>1.7902598053088667</v>
      </c>
      <c r="H345" s="81">
        <f>D345-F345</f>
        <v>783146837.0400001</v>
      </c>
      <c r="I345" s="81">
        <f>SUM(I346:I348)</f>
        <v>216534114.64</v>
      </c>
      <c r="J345" s="81">
        <f>SUM(J346:J348)</f>
        <v>739483872.95</v>
      </c>
      <c r="K345" s="51">
        <f t="shared" si="50"/>
        <v>1.8351817308261975</v>
      </c>
      <c r="L345" s="91">
        <f>D345-J345</f>
        <v>945424616.45</v>
      </c>
    </row>
    <row r="346" spans="1:12" ht="15">
      <c r="A346" s="52" t="s">
        <v>28</v>
      </c>
      <c r="B346" s="66" t="s">
        <v>33</v>
      </c>
      <c r="C346" s="82">
        <v>55607145</v>
      </c>
      <c r="D346" s="82">
        <v>55613444.08</v>
      </c>
      <c r="E346" s="82">
        <f>F346-27694092.19</f>
        <v>16043772.150000002</v>
      </c>
      <c r="F346" s="82">
        <v>43737864.34</v>
      </c>
      <c r="G346" s="64">
        <f t="shared" si="49"/>
        <v>0.0868324133023727</v>
      </c>
      <c r="H346" s="82">
        <f t="shared" si="45"/>
        <v>11875579.739999995</v>
      </c>
      <c r="I346" s="82">
        <f>J346-27645319.65</f>
        <v>15384560.310000002</v>
      </c>
      <c r="J346" s="82">
        <v>43029879.96</v>
      </c>
      <c r="K346" s="56">
        <f t="shared" si="50"/>
        <v>0.10678752096000839</v>
      </c>
      <c r="L346" s="92">
        <f t="shared" si="44"/>
        <v>12583564.119999997</v>
      </c>
    </row>
    <row r="347" spans="1:12" ht="15">
      <c r="A347" s="52" t="s">
        <v>67</v>
      </c>
      <c r="B347" s="66" t="s">
        <v>75</v>
      </c>
      <c r="C347" s="82">
        <v>1546291793</v>
      </c>
      <c r="D347" s="82">
        <v>1627096096.16</v>
      </c>
      <c r="E347" s="82">
        <f>F347-522507742.66</f>
        <v>333947045.35999995</v>
      </c>
      <c r="F347" s="82">
        <v>856454788.02</v>
      </c>
      <c r="G347" s="64">
        <f t="shared" si="49"/>
        <v>1.700312469535375</v>
      </c>
      <c r="H347" s="82">
        <f t="shared" si="45"/>
        <v>770641308.1400001</v>
      </c>
      <c r="I347" s="82">
        <f>J347-494519938.66</f>
        <v>200888054.32999998</v>
      </c>
      <c r="J347" s="82">
        <v>695407992.99</v>
      </c>
      <c r="K347" s="56">
        <f t="shared" si="50"/>
        <v>1.7257983451547838</v>
      </c>
      <c r="L347" s="92">
        <f t="shared" si="44"/>
        <v>931688103.1700001</v>
      </c>
    </row>
    <row r="348" spans="1:12" ht="15">
      <c r="A348" s="52" t="s">
        <v>94</v>
      </c>
      <c r="B348" s="66" t="s">
        <v>100</v>
      </c>
      <c r="C348" s="82">
        <v>0</v>
      </c>
      <c r="D348" s="82">
        <v>2198949.16</v>
      </c>
      <c r="E348" s="82">
        <f>F348-1046000</f>
        <v>523000</v>
      </c>
      <c r="F348" s="82">
        <v>1569000</v>
      </c>
      <c r="G348" s="64">
        <f t="shared" si="49"/>
        <v>0.0031149224711190535</v>
      </c>
      <c r="H348" s="82">
        <f t="shared" si="45"/>
        <v>629949.1600000001</v>
      </c>
      <c r="I348" s="82">
        <f>J348-784500</f>
        <v>261500</v>
      </c>
      <c r="J348" s="82">
        <v>1046000</v>
      </c>
      <c r="K348" s="56">
        <f t="shared" si="50"/>
        <v>0.002595864711405269</v>
      </c>
      <c r="L348" s="92">
        <f t="shared" si="44"/>
        <v>1152949.1600000001</v>
      </c>
    </row>
    <row r="349" spans="1:12" ht="14.25">
      <c r="A349" s="47" t="s">
        <v>104</v>
      </c>
      <c r="B349" s="71" t="s">
        <v>103</v>
      </c>
      <c r="C349" s="81">
        <f>C350+C351</f>
        <v>761366</v>
      </c>
      <c r="D349" s="81">
        <f>D350+D351</f>
        <v>1341366</v>
      </c>
      <c r="E349" s="81">
        <f>E350+E351</f>
        <v>244233.01</v>
      </c>
      <c r="F349" s="81">
        <f>F350+F351</f>
        <v>548052.41</v>
      </c>
      <c r="G349" s="70">
        <f t="shared" si="49"/>
        <v>0.0010880438287188992</v>
      </c>
      <c r="H349" s="81">
        <f t="shared" si="45"/>
        <v>793313.59</v>
      </c>
      <c r="I349" s="81">
        <f>I350+I351</f>
        <v>247736.01</v>
      </c>
      <c r="J349" s="81">
        <f>J350+J351</f>
        <v>543147.77</v>
      </c>
      <c r="K349" s="51">
        <f t="shared" si="50"/>
        <v>0.0013479332019325676</v>
      </c>
      <c r="L349" s="91">
        <f t="shared" si="44"/>
        <v>798218.23</v>
      </c>
    </row>
    <row r="350" spans="1:12" ht="15">
      <c r="A350" s="52" t="s">
        <v>28</v>
      </c>
      <c r="B350" s="66" t="s">
        <v>33</v>
      </c>
      <c r="C350" s="82">
        <v>761366</v>
      </c>
      <c r="D350" s="82">
        <v>1341366</v>
      </c>
      <c r="E350" s="82">
        <f>F350-303819.4</f>
        <v>244233.01</v>
      </c>
      <c r="F350" s="82">
        <v>548052.41</v>
      </c>
      <c r="G350" s="64">
        <f t="shared" si="49"/>
        <v>0.0010880438287188992</v>
      </c>
      <c r="H350" s="82">
        <f t="shared" si="45"/>
        <v>793313.59</v>
      </c>
      <c r="I350" s="82">
        <f>J350-295411.76</f>
        <v>247736.01</v>
      </c>
      <c r="J350" s="82">
        <v>543147.77</v>
      </c>
      <c r="K350" s="56">
        <f t="shared" si="50"/>
        <v>0.0013479332019325676</v>
      </c>
      <c r="L350" s="92">
        <f t="shared" si="44"/>
        <v>798218.23</v>
      </c>
    </row>
    <row r="351" spans="1:12" ht="15">
      <c r="A351" s="52" t="s">
        <v>105</v>
      </c>
      <c r="B351" s="66" t="s">
        <v>107</v>
      </c>
      <c r="C351" s="82">
        <v>0</v>
      </c>
      <c r="D351" s="82">
        <v>0</v>
      </c>
      <c r="E351" s="82">
        <f>F351-0</f>
        <v>0</v>
      </c>
      <c r="F351" s="82">
        <v>0</v>
      </c>
      <c r="G351" s="64">
        <f t="shared" si="49"/>
        <v>0</v>
      </c>
      <c r="H351" s="82">
        <f t="shared" si="45"/>
        <v>0</v>
      </c>
      <c r="I351" s="82">
        <f>J351-0</f>
        <v>0</v>
      </c>
      <c r="J351" s="82">
        <v>0</v>
      </c>
      <c r="K351" s="56">
        <f t="shared" si="50"/>
        <v>0</v>
      </c>
      <c r="L351" s="92">
        <f t="shared" si="44"/>
        <v>0</v>
      </c>
    </row>
    <row r="352" spans="1:12" ht="14.25">
      <c r="A352" s="47" t="s">
        <v>109</v>
      </c>
      <c r="B352" s="71" t="s">
        <v>110</v>
      </c>
      <c r="C352" s="81">
        <f>SUM(C353:C359)</f>
        <v>926920069</v>
      </c>
      <c r="D352" s="81">
        <f>SUM(D353:D359)</f>
        <v>946425778.61</v>
      </c>
      <c r="E352" s="81">
        <f>SUM(E353:E359)</f>
        <v>19705972.329999983</v>
      </c>
      <c r="F352" s="81">
        <f>SUM(F353:F359)</f>
        <v>841930450.23</v>
      </c>
      <c r="G352" s="70">
        <f aca="true" t="shared" si="51" ref="G352:G400">(F352/$F$296)*100</f>
        <v>1.6714774241815227</v>
      </c>
      <c r="H352" s="81">
        <f t="shared" si="45"/>
        <v>104495328.38</v>
      </c>
      <c r="I352" s="81">
        <f>SUM(I353:I359)</f>
        <v>156193751.19</v>
      </c>
      <c r="J352" s="81">
        <f>SUM(J353:J359)</f>
        <v>492901767.31</v>
      </c>
      <c r="K352" s="51">
        <f aca="true" t="shared" si="52" ref="K352:K400">(J352/$J$296)*100</f>
        <v>1.2232373842727728</v>
      </c>
      <c r="L352" s="91">
        <f t="shared" si="44"/>
        <v>453524011.3</v>
      </c>
    </row>
    <row r="353" spans="1:12" ht="15">
      <c r="A353" s="52" t="s">
        <v>28</v>
      </c>
      <c r="B353" s="66" t="s">
        <v>33</v>
      </c>
      <c r="C353" s="82">
        <v>333146469</v>
      </c>
      <c r="D353" s="82">
        <v>307598039.68</v>
      </c>
      <c r="E353" s="82">
        <f>F353-242729067.71</f>
        <v>19705972.329999983</v>
      </c>
      <c r="F353" s="82">
        <v>262435040.04</v>
      </c>
      <c r="G353" s="64">
        <f t="shared" si="51"/>
        <v>0.5210100722942157</v>
      </c>
      <c r="H353" s="82">
        <f t="shared" si="45"/>
        <v>45162999.640000015</v>
      </c>
      <c r="I353" s="82">
        <f>J353-122040433.88</f>
        <v>60381160.68000001</v>
      </c>
      <c r="J353" s="82">
        <v>182421594.56</v>
      </c>
      <c r="K353" s="56">
        <f t="shared" si="52"/>
        <v>0.45271680680361703</v>
      </c>
      <c r="L353" s="92">
        <f t="shared" si="44"/>
        <v>125176445.12</v>
      </c>
    </row>
    <row r="354" spans="1:12" ht="15">
      <c r="A354" s="52" t="s">
        <v>29</v>
      </c>
      <c r="B354" s="66" t="s">
        <v>34</v>
      </c>
      <c r="C354" s="82">
        <v>0</v>
      </c>
      <c r="D354" s="82">
        <v>0</v>
      </c>
      <c r="E354" s="82">
        <f>F354-0</f>
        <v>0</v>
      </c>
      <c r="F354" s="82">
        <v>0</v>
      </c>
      <c r="G354" s="64">
        <f t="shared" si="51"/>
        <v>0</v>
      </c>
      <c r="H354" s="82">
        <f t="shared" si="45"/>
        <v>0</v>
      </c>
      <c r="I354" s="82">
        <f>J354-0</f>
        <v>0</v>
      </c>
      <c r="J354" s="82">
        <v>0</v>
      </c>
      <c r="K354" s="56">
        <f t="shared" si="52"/>
        <v>0</v>
      </c>
      <c r="L354" s="92">
        <f t="shared" si="44"/>
        <v>0</v>
      </c>
    </row>
    <row r="355" spans="1:12" ht="15">
      <c r="A355" s="52" t="s">
        <v>82</v>
      </c>
      <c r="B355" s="66" t="s">
        <v>84</v>
      </c>
      <c r="C355" s="82">
        <v>0</v>
      </c>
      <c r="D355" s="82">
        <v>307440.93</v>
      </c>
      <c r="E355" s="82">
        <f>F355-307440.93</f>
        <v>0</v>
      </c>
      <c r="F355" s="82">
        <v>307440.93</v>
      </c>
      <c r="G355" s="64">
        <f t="shared" si="51"/>
        <v>0.0006103598861687316</v>
      </c>
      <c r="H355" s="82">
        <f>D355-F355</f>
        <v>0</v>
      </c>
      <c r="I355" s="82">
        <f>J355-158330.93</f>
        <v>0</v>
      </c>
      <c r="J355" s="82">
        <v>158330.93</v>
      </c>
      <c r="K355" s="56">
        <f t="shared" si="52"/>
        <v>0.00039293085459940523</v>
      </c>
      <c r="L355" s="92">
        <f>D355-J355</f>
        <v>149110</v>
      </c>
    </row>
    <row r="356" spans="1:12" ht="15">
      <c r="A356" s="52" t="s">
        <v>111</v>
      </c>
      <c r="B356" s="66" t="s">
        <v>118</v>
      </c>
      <c r="C356" s="82">
        <v>132185335</v>
      </c>
      <c r="D356" s="82">
        <v>172185335</v>
      </c>
      <c r="E356" s="82">
        <f>F356-146988071.46</f>
        <v>0</v>
      </c>
      <c r="F356" s="82">
        <v>146988071.46</v>
      </c>
      <c r="G356" s="64">
        <f t="shared" si="51"/>
        <v>0.2918141789529683</v>
      </c>
      <c r="H356" s="82">
        <f>D356-F356</f>
        <v>25197263.53999999</v>
      </c>
      <c r="I356" s="82">
        <f>J356-60167985.98</f>
        <v>29190791.020000003</v>
      </c>
      <c r="J356" s="82">
        <v>89358777</v>
      </c>
      <c r="K356" s="56">
        <f t="shared" si="52"/>
        <v>0.22176223314400845</v>
      </c>
      <c r="L356" s="92">
        <f>D356-J356</f>
        <v>82826558</v>
      </c>
    </row>
    <row r="357" spans="1:12" ht="15">
      <c r="A357" s="52" t="s">
        <v>112</v>
      </c>
      <c r="B357" s="66" t="s">
        <v>119</v>
      </c>
      <c r="C357" s="82">
        <v>447697759</v>
      </c>
      <c r="D357" s="82">
        <v>462697759</v>
      </c>
      <c r="E357" s="82">
        <f>F357-432199897.8</f>
        <v>0</v>
      </c>
      <c r="F357" s="82">
        <v>432199897.8</v>
      </c>
      <c r="G357" s="64">
        <f t="shared" si="51"/>
        <v>0.8580428130481698</v>
      </c>
      <c r="H357" s="82">
        <f t="shared" si="45"/>
        <v>30497861.199999988</v>
      </c>
      <c r="I357" s="82">
        <f>J357-154341265.33</f>
        <v>66621799.48999998</v>
      </c>
      <c r="J357" s="82">
        <v>220963064.82</v>
      </c>
      <c r="K357" s="56">
        <f t="shared" si="52"/>
        <v>0.5483654134705479</v>
      </c>
      <c r="L357" s="92">
        <f t="shared" si="44"/>
        <v>241734694.18</v>
      </c>
    </row>
    <row r="358" spans="1:12" ht="15">
      <c r="A358" s="52" t="s">
        <v>114</v>
      </c>
      <c r="B358" s="66" t="s">
        <v>121</v>
      </c>
      <c r="C358" s="82">
        <v>13490506</v>
      </c>
      <c r="D358" s="82">
        <v>3237204</v>
      </c>
      <c r="E358" s="82">
        <f>F358-0</f>
        <v>0</v>
      </c>
      <c r="F358" s="82">
        <v>0</v>
      </c>
      <c r="G358" s="64">
        <f t="shared" si="51"/>
        <v>0</v>
      </c>
      <c r="H358" s="82">
        <f t="shared" si="45"/>
        <v>3237204</v>
      </c>
      <c r="I358" s="82">
        <f>J358-0</f>
        <v>0</v>
      </c>
      <c r="J358" s="82">
        <v>0</v>
      </c>
      <c r="K358" s="56">
        <f t="shared" si="52"/>
        <v>0</v>
      </c>
      <c r="L358" s="92">
        <f t="shared" si="44"/>
        <v>3237204</v>
      </c>
    </row>
    <row r="359" spans="1:12" ht="15">
      <c r="A359" s="52" t="s">
        <v>251</v>
      </c>
      <c r="B359" s="66" t="s">
        <v>252</v>
      </c>
      <c r="C359" s="82">
        <v>400000</v>
      </c>
      <c r="D359" s="82">
        <v>400000</v>
      </c>
      <c r="E359" s="82">
        <f>F359-0</f>
        <v>0</v>
      </c>
      <c r="F359" s="82">
        <v>0</v>
      </c>
      <c r="G359" s="64">
        <f t="shared" si="51"/>
        <v>0</v>
      </c>
      <c r="H359" s="82">
        <f t="shared" si="45"/>
        <v>400000</v>
      </c>
      <c r="I359" s="82">
        <f>J359-0</f>
        <v>0</v>
      </c>
      <c r="J359" s="82">
        <v>0</v>
      </c>
      <c r="K359" s="56">
        <f t="shared" si="52"/>
        <v>0</v>
      </c>
      <c r="L359" s="92">
        <f t="shared" si="44"/>
        <v>400000</v>
      </c>
    </row>
    <row r="360" spans="1:12" ht="14.25">
      <c r="A360" s="47" t="s">
        <v>125</v>
      </c>
      <c r="B360" s="71" t="s">
        <v>126</v>
      </c>
      <c r="C360" s="81">
        <f>SUM(C361:C362)</f>
        <v>11409506</v>
      </c>
      <c r="D360" s="81">
        <f>SUM(D361:D362)</f>
        <v>11706968.66</v>
      </c>
      <c r="E360" s="81">
        <f>SUM(E361:E362)</f>
        <v>1729321.3899999997</v>
      </c>
      <c r="F360" s="81">
        <f>SUM(F361:F362)</f>
        <v>5428740.76</v>
      </c>
      <c r="G360" s="70">
        <f t="shared" si="51"/>
        <v>0.010777633258893518</v>
      </c>
      <c r="H360" s="81">
        <f t="shared" si="45"/>
        <v>6278227.9</v>
      </c>
      <c r="I360" s="81">
        <f>SUM(I361:I362)</f>
        <v>1774098.56</v>
      </c>
      <c r="J360" s="81">
        <f>SUM(J361:J362)</f>
        <v>4921878.45</v>
      </c>
      <c r="K360" s="51">
        <f t="shared" si="52"/>
        <v>0.012214656388318418</v>
      </c>
      <c r="L360" s="91">
        <f>D360-J360</f>
        <v>6785090.21</v>
      </c>
    </row>
    <row r="361" spans="1:12" ht="15">
      <c r="A361" s="52" t="s">
        <v>28</v>
      </c>
      <c r="B361" s="66" t="s">
        <v>33</v>
      </c>
      <c r="C361" s="82">
        <v>9941353</v>
      </c>
      <c r="D361" s="82">
        <v>10238815.66</v>
      </c>
      <c r="E361" s="82">
        <f>F361-3699419.37</f>
        <v>1729321.3899999997</v>
      </c>
      <c r="F361" s="82">
        <v>5428740.76</v>
      </c>
      <c r="G361" s="64">
        <f t="shared" si="51"/>
        <v>0.010777633258893518</v>
      </c>
      <c r="H361" s="82">
        <f t="shared" si="45"/>
        <v>4810074.9</v>
      </c>
      <c r="I361" s="82">
        <f>J361-3147779.89</f>
        <v>1774098.56</v>
      </c>
      <c r="J361" s="82">
        <v>4921878.45</v>
      </c>
      <c r="K361" s="56">
        <f t="shared" si="52"/>
        <v>0.012214656388318418</v>
      </c>
      <c r="L361" s="92">
        <f>D361-J361</f>
        <v>5316937.21</v>
      </c>
    </row>
    <row r="362" spans="1:12" ht="15">
      <c r="A362" s="52" t="s">
        <v>117</v>
      </c>
      <c r="B362" s="66" t="s">
        <v>124</v>
      </c>
      <c r="C362" s="82">
        <v>1468153</v>
      </c>
      <c r="D362" s="82">
        <v>1468153</v>
      </c>
      <c r="E362" s="82">
        <f>F362-0</f>
        <v>0</v>
      </c>
      <c r="F362" s="82">
        <v>0</v>
      </c>
      <c r="G362" s="64">
        <f t="shared" si="51"/>
        <v>0</v>
      </c>
      <c r="H362" s="82">
        <f t="shared" si="45"/>
        <v>1468153</v>
      </c>
      <c r="I362" s="82">
        <f>J362-0</f>
        <v>0</v>
      </c>
      <c r="J362" s="82">
        <v>0</v>
      </c>
      <c r="K362" s="56">
        <f t="shared" si="52"/>
        <v>0</v>
      </c>
      <c r="L362" s="92">
        <f>D362-J362</f>
        <v>1468153</v>
      </c>
    </row>
    <row r="363" spans="1:12" ht="14.25">
      <c r="A363" s="73" t="s">
        <v>129</v>
      </c>
      <c r="B363" s="71" t="s">
        <v>130</v>
      </c>
      <c r="C363" s="81">
        <f>C364</f>
        <v>1376573</v>
      </c>
      <c r="D363" s="81">
        <f>D364+D365</f>
        <v>1409907</v>
      </c>
      <c r="E363" s="81">
        <f>E364+E365</f>
        <v>273698.24</v>
      </c>
      <c r="F363" s="81">
        <f>F364+F365</f>
        <v>789041.34</v>
      </c>
      <c r="G363" s="70">
        <f t="shared" si="51"/>
        <v>0.001566477119571631</v>
      </c>
      <c r="H363" s="81">
        <f t="shared" si="45"/>
        <v>620865.66</v>
      </c>
      <c r="I363" s="81">
        <f>I364</f>
        <v>273698.24</v>
      </c>
      <c r="J363" s="81">
        <f>J364</f>
        <v>789041.34</v>
      </c>
      <c r="K363" s="51">
        <f t="shared" si="52"/>
        <v>0.001958168805302033</v>
      </c>
      <c r="L363" s="91">
        <f t="shared" si="44"/>
        <v>620865.66</v>
      </c>
    </row>
    <row r="364" spans="1:12" ht="15">
      <c r="A364" s="61" t="s">
        <v>28</v>
      </c>
      <c r="B364" s="66" t="s">
        <v>33</v>
      </c>
      <c r="C364" s="82">
        <v>1376573</v>
      </c>
      <c r="D364" s="82">
        <v>1409907</v>
      </c>
      <c r="E364" s="82">
        <f>F364-515343.1</f>
        <v>273698.24</v>
      </c>
      <c r="F364" s="82">
        <v>789041.34</v>
      </c>
      <c r="G364" s="64">
        <f t="shared" si="51"/>
        <v>0.001566477119571631</v>
      </c>
      <c r="H364" s="82">
        <f t="shared" si="45"/>
        <v>620865.66</v>
      </c>
      <c r="I364" s="82">
        <f>J364-515343.1</f>
        <v>273698.24</v>
      </c>
      <c r="J364" s="82">
        <v>789041.34</v>
      </c>
      <c r="K364" s="56">
        <f t="shared" si="52"/>
        <v>0.001958168805302033</v>
      </c>
      <c r="L364" s="92">
        <f t="shared" si="44"/>
        <v>620865.66</v>
      </c>
    </row>
    <row r="365" spans="1:12" ht="15">
      <c r="A365" s="61" t="s">
        <v>49</v>
      </c>
      <c r="B365" s="66" t="s">
        <v>56</v>
      </c>
      <c r="C365" s="82">
        <v>0</v>
      </c>
      <c r="D365" s="82">
        <v>0</v>
      </c>
      <c r="E365" s="82">
        <f>F365-0</f>
        <v>0</v>
      </c>
      <c r="F365" s="82">
        <v>0</v>
      </c>
      <c r="G365" s="64">
        <f t="shared" si="51"/>
        <v>0</v>
      </c>
      <c r="H365" s="82">
        <f t="shared" si="45"/>
        <v>0</v>
      </c>
      <c r="I365" s="82">
        <f>J365-0</f>
        <v>0</v>
      </c>
      <c r="J365" s="82">
        <v>0</v>
      </c>
      <c r="K365" s="56">
        <f t="shared" si="52"/>
        <v>0</v>
      </c>
      <c r="L365" s="92">
        <f t="shared" si="44"/>
        <v>0</v>
      </c>
    </row>
    <row r="366" spans="1:12" ht="14.25">
      <c r="A366" s="73" t="s">
        <v>133</v>
      </c>
      <c r="B366" s="71" t="s">
        <v>134</v>
      </c>
      <c r="C366" s="81">
        <f>C367+C368</f>
        <v>535812</v>
      </c>
      <c r="D366" s="81">
        <f>D367+D368</f>
        <v>1225812</v>
      </c>
      <c r="E366" s="81">
        <f>E367+E368</f>
        <v>179999.77999999997</v>
      </c>
      <c r="F366" s="81">
        <f>F367+F368</f>
        <v>563413.62</v>
      </c>
      <c r="G366" s="70">
        <f t="shared" si="51"/>
        <v>0.0011185403094152526</v>
      </c>
      <c r="H366" s="81">
        <f t="shared" si="45"/>
        <v>662398.38</v>
      </c>
      <c r="I366" s="81">
        <f>I367+I368</f>
        <v>195888.53999999998</v>
      </c>
      <c r="J366" s="81">
        <f>J367+J368</f>
        <v>495691.24</v>
      </c>
      <c r="K366" s="51">
        <f t="shared" si="52"/>
        <v>0.0012301600360121606</v>
      </c>
      <c r="L366" s="91">
        <f t="shared" si="44"/>
        <v>730120.76</v>
      </c>
    </row>
    <row r="367" spans="1:12" ht="15">
      <c r="A367" s="68" t="s">
        <v>28</v>
      </c>
      <c r="B367" s="62" t="s">
        <v>33</v>
      </c>
      <c r="C367" s="82">
        <v>380530</v>
      </c>
      <c r="D367" s="82">
        <v>1070530</v>
      </c>
      <c r="E367" s="82">
        <f>F367-383413.84</f>
        <v>179999.77999999997</v>
      </c>
      <c r="F367" s="82">
        <v>563413.62</v>
      </c>
      <c r="G367" s="64">
        <f t="shared" si="51"/>
        <v>0.0011185403094152526</v>
      </c>
      <c r="H367" s="82">
        <f t="shared" si="45"/>
        <v>507116.38</v>
      </c>
      <c r="I367" s="82">
        <f>J367-299802.7</f>
        <v>195888.53999999998</v>
      </c>
      <c r="J367" s="82">
        <v>495691.24</v>
      </c>
      <c r="K367" s="56">
        <f t="shared" si="52"/>
        <v>0.0012301600360121606</v>
      </c>
      <c r="L367" s="92">
        <f t="shared" si="44"/>
        <v>574838.76</v>
      </c>
    </row>
    <row r="368" spans="1:12" ht="15">
      <c r="A368" s="68" t="s">
        <v>135</v>
      </c>
      <c r="B368" s="62" t="s">
        <v>136</v>
      </c>
      <c r="C368" s="82">
        <v>155282</v>
      </c>
      <c r="D368" s="82">
        <v>155282</v>
      </c>
      <c r="E368" s="82">
        <f>F368-0</f>
        <v>0</v>
      </c>
      <c r="F368" s="82">
        <v>0</v>
      </c>
      <c r="G368" s="64">
        <f t="shared" si="51"/>
        <v>0</v>
      </c>
      <c r="H368" s="82">
        <f t="shared" si="45"/>
        <v>155282</v>
      </c>
      <c r="I368" s="82">
        <f>J368-0</f>
        <v>0</v>
      </c>
      <c r="J368" s="82">
        <v>0</v>
      </c>
      <c r="K368" s="56">
        <f t="shared" si="52"/>
        <v>0</v>
      </c>
      <c r="L368" s="92">
        <f t="shared" si="44"/>
        <v>155282</v>
      </c>
    </row>
    <row r="369" spans="1:12" ht="14.25">
      <c r="A369" s="74" t="s">
        <v>138</v>
      </c>
      <c r="B369" s="75" t="s">
        <v>137</v>
      </c>
      <c r="C369" s="81">
        <f>C370</f>
        <v>188973</v>
      </c>
      <c r="D369" s="81">
        <f>D370</f>
        <v>188973</v>
      </c>
      <c r="E369" s="81">
        <f>E370</f>
        <v>0</v>
      </c>
      <c r="F369" s="81">
        <f>F370</f>
        <v>676</v>
      </c>
      <c r="G369" s="70">
        <f t="shared" si="51"/>
        <v>1.3420571003674188E-06</v>
      </c>
      <c r="H369" s="81">
        <f t="shared" si="45"/>
        <v>188297</v>
      </c>
      <c r="I369" s="81">
        <f>I370</f>
        <v>0</v>
      </c>
      <c r="J369" s="81">
        <f>J370</f>
        <v>676</v>
      </c>
      <c r="K369" s="51">
        <f t="shared" si="52"/>
        <v>1.677633408135719E-06</v>
      </c>
      <c r="L369" s="91">
        <f t="shared" si="44"/>
        <v>188297</v>
      </c>
    </row>
    <row r="370" spans="1:12" ht="15">
      <c r="A370" s="68" t="s">
        <v>28</v>
      </c>
      <c r="B370" s="62" t="s">
        <v>33</v>
      </c>
      <c r="C370" s="82">
        <v>188973</v>
      </c>
      <c r="D370" s="82">
        <v>188973</v>
      </c>
      <c r="E370" s="82">
        <f>F370-676</f>
        <v>0</v>
      </c>
      <c r="F370" s="82">
        <v>676</v>
      </c>
      <c r="G370" s="64">
        <f t="shared" si="51"/>
        <v>1.3420571003674188E-06</v>
      </c>
      <c r="H370" s="82">
        <f t="shared" si="45"/>
        <v>188297</v>
      </c>
      <c r="I370" s="82">
        <f>J370-676</f>
        <v>0</v>
      </c>
      <c r="J370" s="82">
        <v>676</v>
      </c>
      <c r="K370" s="56">
        <f t="shared" si="52"/>
        <v>1.677633408135719E-06</v>
      </c>
      <c r="L370" s="92">
        <f t="shared" si="44"/>
        <v>188297</v>
      </c>
    </row>
    <row r="371" spans="1:12" ht="14.25">
      <c r="A371" s="47" t="s">
        <v>141</v>
      </c>
      <c r="B371" s="50" t="s">
        <v>142</v>
      </c>
      <c r="C371" s="81">
        <f>C372</f>
        <v>0</v>
      </c>
      <c r="D371" s="81">
        <f>D372</f>
        <v>0</v>
      </c>
      <c r="E371" s="81">
        <f>E372</f>
        <v>0</v>
      </c>
      <c r="F371" s="81">
        <f>F372</f>
        <v>0</v>
      </c>
      <c r="G371" s="70">
        <f>(F371/$F$296)*100</f>
        <v>0</v>
      </c>
      <c r="H371" s="81">
        <f>D371-F371</f>
        <v>0</v>
      </c>
      <c r="I371" s="81">
        <f>I372</f>
        <v>0</v>
      </c>
      <c r="J371" s="81">
        <f>J372</f>
        <v>0</v>
      </c>
      <c r="K371" s="51">
        <f t="shared" si="52"/>
        <v>0</v>
      </c>
      <c r="L371" s="91">
        <f t="shared" si="44"/>
        <v>0</v>
      </c>
    </row>
    <row r="372" spans="1:12" ht="15">
      <c r="A372" s="68" t="s">
        <v>143</v>
      </c>
      <c r="B372" s="62" t="s">
        <v>144</v>
      </c>
      <c r="C372" s="82">
        <v>0</v>
      </c>
      <c r="D372" s="82">
        <v>0</v>
      </c>
      <c r="E372" s="82">
        <f>F372-0</f>
        <v>0</v>
      </c>
      <c r="F372" s="82">
        <v>0</v>
      </c>
      <c r="G372" s="64">
        <f>(F372/$F$296)*100</f>
        <v>0</v>
      </c>
      <c r="H372" s="82">
        <f t="shared" si="45"/>
        <v>0</v>
      </c>
      <c r="I372" s="82">
        <f>J372-0</f>
        <v>0</v>
      </c>
      <c r="J372" s="82">
        <v>0</v>
      </c>
      <c r="K372" s="56">
        <f>(J372/$J$296)*100</f>
        <v>0</v>
      </c>
      <c r="L372" s="92">
        <f t="shared" si="44"/>
        <v>0</v>
      </c>
    </row>
    <row r="373" spans="1:12" ht="14.25">
      <c r="A373" s="74" t="s">
        <v>149</v>
      </c>
      <c r="B373" s="75" t="s">
        <v>150</v>
      </c>
      <c r="C373" s="81">
        <f>C374</f>
        <v>11781568</v>
      </c>
      <c r="D373" s="81">
        <f>D374</f>
        <v>15641705.36</v>
      </c>
      <c r="E373" s="81">
        <f>E374</f>
        <v>2178221.91</v>
      </c>
      <c r="F373" s="81">
        <f>F374</f>
        <v>7339919.2</v>
      </c>
      <c r="G373" s="70">
        <f t="shared" si="51"/>
        <v>0.014571879701898145</v>
      </c>
      <c r="H373" s="81">
        <f aca="true" t="shared" si="53" ref="H373:H380">D373-F373</f>
        <v>8301786.159999999</v>
      </c>
      <c r="I373" s="81">
        <f>I374</f>
        <v>2216387.46</v>
      </c>
      <c r="J373" s="81">
        <f>J374</f>
        <v>7245984.09</v>
      </c>
      <c r="K373" s="51">
        <f t="shared" si="52"/>
        <v>0.01798240382278683</v>
      </c>
      <c r="L373" s="91">
        <f t="shared" si="44"/>
        <v>8395721.27</v>
      </c>
    </row>
    <row r="374" spans="1:12" ht="15">
      <c r="A374" s="68" t="s">
        <v>28</v>
      </c>
      <c r="B374" s="62" t="s">
        <v>33</v>
      </c>
      <c r="C374" s="82">
        <v>11781568</v>
      </c>
      <c r="D374" s="82">
        <v>15641705.36</v>
      </c>
      <c r="E374" s="82">
        <f>F374-5161697.29</f>
        <v>2178221.91</v>
      </c>
      <c r="F374" s="82">
        <v>7339919.2</v>
      </c>
      <c r="G374" s="64">
        <f t="shared" si="51"/>
        <v>0.014571879701898145</v>
      </c>
      <c r="H374" s="82">
        <f t="shared" si="53"/>
        <v>8301786.159999999</v>
      </c>
      <c r="I374" s="82">
        <f>J374-5029596.63</f>
        <v>2216387.46</v>
      </c>
      <c r="J374" s="82">
        <v>7245984.09</v>
      </c>
      <c r="K374" s="56">
        <f t="shared" si="52"/>
        <v>0.01798240382278683</v>
      </c>
      <c r="L374" s="92">
        <f t="shared" si="44"/>
        <v>8395721.27</v>
      </c>
    </row>
    <row r="375" spans="1:12" ht="14.25">
      <c r="A375" s="74" t="s">
        <v>158</v>
      </c>
      <c r="B375" s="75" t="s">
        <v>159</v>
      </c>
      <c r="C375" s="81">
        <f>SUM(C376:C379)</f>
        <v>10044556</v>
      </c>
      <c r="D375" s="81">
        <f>SUM(D376:D379)</f>
        <v>10274428.02</v>
      </c>
      <c r="E375" s="81">
        <f>SUM(E376:E379)</f>
        <v>1269888.5899999999</v>
      </c>
      <c r="F375" s="81">
        <f>SUM(F376:F379)</f>
        <v>3902712.81</v>
      </c>
      <c r="G375" s="70">
        <f t="shared" si="51"/>
        <v>0.007748022836324529</v>
      </c>
      <c r="H375" s="81">
        <f t="shared" si="53"/>
        <v>6371715.209999999</v>
      </c>
      <c r="I375" s="81">
        <f>SUM(I376:I378)</f>
        <v>1277907.5499999998</v>
      </c>
      <c r="J375" s="81">
        <f>SUM(J376:J378)</f>
        <v>3827713.77</v>
      </c>
      <c r="K375" s="51">
        <f t="shared" si="52"/>
        <v>0.00949926109072947</v>
      </c>
      <c r="L375" s="91">
        <f t="shared" si="44"/>
        <v>6446714.25</v>
      </c>
    </row>
    <row r="376" spans="1:12" ht="15">
      <c r="A376" s="68" t="s">
        <v>28</v>
      </c>
      <c r="B376" s="62" t="s">
        <v>33</v>
      </c>
      <c r="C376" s="82">
        <v>10044556</v>
      </c>
      <c r="D376" s="82">
        <v>10274428.02</v>
      </c>
      <c r="E376" s="82">
        <f>F376-2632824.22</f>
        <v>1269888.5899999999</v>
      </c>
      <c r="F376" s="82">
        <v>3902712.81</v>
      </c>
      <c r="G376" s="70">
        <f t="shared" si="51"/>
        <v>0.007748022836324529</v>
      </c>
      <c r="H376" s="82">
        <f t="shared" si="53"/>
        <v>6371715.209999999</v>
      </c>
      <c r="I376" s="82">
        <f>J376-2549806.22</f>
        <v>1277907.5499999998</v>
      </c>
      <c r="J376" s="82">
        <v>3827713.77</v>
      </c>
      <c r="K376" s="56">
        <f t="shared" si="52"/>
        <v>0.00949926109072947</v>
      </c>
      <c r="L376" s="92">
        <f t="shared" si="44"/>
        <v>6446714.25</v>
      </c>
    </row>
    <row r="377" spans="1:12" ht="15">
      <c r="A377" s="68" t="s">
        <v>50</v>
      </c>
      <c r="B377" s="62" t="s">
        <v>57</v>
      </c>
      <c r="C377" s="82">
        <v>0</v>
      </c>
      <c r="D377" s="82">
        <v>0</v>
      </c>
      <c r="E377" s="82">
        <f>F377-0</f>
        <v>0</v>
      </c>
      <c r="F377" s="82">
        <v>0</v>
      </c>
      <c r="G377" s="70">
        <f t="shared" si="51"/>
        <v>0</v>
      </c>
      <c r="H377" s="82">
        <f t="shared" si="53"/>
        <v>0</v>
      </c>
      <c r="I377" s="82">
        <f>J377-0</f>
        <v>0</v>
      </c>
      <c r="J377" s="82">
        <v>0</v>
      </c>
      <c r="K377" s="56">
        <f t="shared" si="52"/>
        <v>0</v>
      </c>
      <c r="L377" s="92">
        <f t="shared" si="44"/>
        <v>0</v>
      </c>
    </row>
    <row r="378" spans="1:12" ht="15">
      <c r="A378" s="68" t="s">
        <v>96</v>
      </c>
      <c r="B378" s="62" t="s">
        <v>102</v>
      </c>
      <c r="C378" s="82">
        <v>0</v>
      </c>
      <c r="D378" s="82">
        <v>0</v>
      </c>
      <c r="E378" s="82">
        <f>F378-0</f>
        <v>0</v>
      </c>
      <c r="F378" s="82">
        <v>0</v>
      </c>
      <c r="G378" s="70">
        <f t="shared" si="51"/>
        <v>0</v>
      </c>
      <c r="H378" s="82">
        <f t="shared" si="53"/>
        <v>0</v>
      </c>
      <c r="I378" s="82">
        <f>J378-0</f>
        <v>0</v>
      </c>
      <c r="J378" s="82">
        <v>0</v>
      </c>
      <c r="K378" s="56">
        <f t="shared" si="52"/>
        <v>0</v>
      </c>
      <c r="L378" s="92">
        <f t="shared" si="44"/>
        <v>0</v>
      </c>
    </row>
    <row r="379" spans="1:12" ht="15">
      <c r="A379" s="68" t="s">
        <v>97</v>
      </c>
      <c r="B379" s="62" t="s">
        <v>237</v>
      </c>
      <c r="C379" s="82">
        <v>0</v>
      </c>
      <c r="D379" s="82">
        <v>0</v>
      </c>
      <c r="E379" s="82">
        <f>F379-0</f>
        <v>0</v>
      </c>
      <c r="F379" s="82">
        <v>0</v>
      </c>
      <c r="G379" s="70">
        <f t="shared" si="51"/>
        <v>0</v>
      </c>
      <c r="H379" s="82">
        <f t="shared" si="53"/>
        <v>0</v>
      </c>
      <c r="I379" s="82">
        <f>J379-0</f>
        <v>0</v>
      </c>
      <c r="J379" s="82">
        <v>0</v>
      </c>
      <c r="K379" s="56">
        <f t="shared" si="52"/>
        <v>0</v>
      </c>
      <c r="L379" s="92">
        <f t="shared" si="44"/>
        <v>0</v>
      </c>
    </row>
    <row r="380" spans="1:12" ht="14.25">
      <c r="A380" s="74" t="s">
        <v>162</v>
      </c>
      <c r="B380" s="75" t="s">
        <v>163</v>
      </c>
      <c r="C380" s="81">
        <f>SUM(C381:C384)</f>
        <v>7459022</v>
      </c>
      <c r="D380" s="81">
        <f>SUM(D381:D384)</f>
        <v>7783721</v>
      </c>
      <c r="E380" s="81">
        <f>SUM(E381:E384)</f>
        <v>963686.6499999997</v>
      </c>
      <c r="F380" s="81">
        <f>SUM(F381:F384)</f>
        <v>3048187.07</v>
      </c>
      <c r="G380" s="70">
        <f t="shared" si="51"/>
        <v>0.006051540089558665</v>
      </c>
      <c r="H380" s="81">
        <f t="shared" si="53"/>
        <v>4735533.93</v>
      </c>
      <c r="I380" s="81">
        <f>SUM(I381:I384)</f>
        <v>1116041.6</v>
      </c>
      <c r="J380" s="81">
        <f>SUM(J381:J384)</f>
        <v>3007633.86</v>
      </c>
      <c r="K380" s="51">
        <f t="shared" si="52"/>
        <v>0.007464063673041697</v>
      </c>
      <c r="L380" s="91">
        <f t="shared" si="44"/>
        <v>4776087.140000001</v>
      </c>
    </row>
    <row r="381" spans="1:12" ht="15">
      <c r="A381" s="61" t="s">
        <v>28</v>
      </c>
      <c r="B381" s="53" t="s">
        <v>33</v>
      </c>
      <c r="C381" s="82">
        <v>7026865</v>
      </c>
      <c r="D381" s="82">
        <v>7383313</v>
      </c>
      <c r="E381" s="82">
        <f>F381-2042951.86</f>
        <v>963686.6499999997</v>
      </c>
      <c r="F381" s="82">
        <v>3006638.51</v>
      </c>
      <c r="G381" s="64">
        <f t="shared" si="51"/>
        <v>0.005969054083703575</v>
      </c>
      <c r="H381" s="82">
        <f>D381-F381</f>
        <v>4376674.49</v>
      </c>
      <c r="I381" s="82">
        <f>J381-1870817.98</f>
        <v>1102192.08</v>
      </c>
      <c r="J381" s="82">
        <v>2973010.06</v>
      </c>
      <c r="K381" s="56">
        <f t="shared" si="52"/>
        <v>0.007378137573046713</v>
      </c>
      <c r="L381" s="92">
        <f t="shared" si="44"/>
        <v>4410302.9399999995</v>
      </c>
    </row>
    <row r="382" spans="1:12" ht="15">
      <c r="A382" s="61" t="s">
        <v>96</v>
      </c>
      <c r="B382" s="53" t="s">
        <v>102</v>
      </c>
      <c r="C382" s="82">
        <v>42282</v>
      </c>
      <c r="D382" s="82">
        <v>42282</v>
      </c>
      <c r="E382" s="82">
        <f>F382-0</f>
        <v>0</v>
      </c>
      <c r="F382" s="82">
        <v>0</v>
      </c>
      <c r="G382" s="64">
        <f t="shared" si="51"/>
        <v>0</v>
      </c>
      <c r="H382" s="82">
        <f>D382-F382</f>
        <v>42282</v>
      </c>
      <c r="I382" s="82">
        <f>J382-0</f>
        <v>0</v>
      </c>
      <c r="J382" s="82">
        <v>0</v>
      </c>
      <c r="K382" s="56">
        <f t="shared" si="52"/>
        <v>0</v>
      </c>
      <c r="L382" s="92">
        <f t="shared" si="44"/>
        <v>42282</v>
      </c>
    </row>
    <row r="383" spans="1:12" ht="15">
      <c r="A383" s="61" t="s">
        <v>270</v>
      </c>
      <c r="B383" s="53" t="s">
        <v>272</v>
      </c>
      <c r="C383" s="82">
        <v>111749</v>
      </c>
      <c r="D383" s="82">
        <v>80000</v>
      </c>
      <c r="E383" s="82">
        <f>F383-0</f>
        <v>0</v>
      </c>
      <c r="F383" s="82">
        <v>0</v>
      </c>
      <c r="G383" s="64">
        <f t="shared" si="51"/>
        <v>0</v>
      </c>
      <c r="H383" s="82">
        <f>D383-F383</f>
        <v>80000</v>
      </c>
      <c r="I383" s="82">
        <f>J383-0</f>
        <v>0</v>
      </c>
      <c r="J383" s="82">
        <v>0</v>
      </c>
      <c r="K383" s="56">
        <f t="shared" si="52"/>
        <v>0</v>
      </c>
      <c r="L383" s="92">
        <f t="shared" si="44"/>
        <v>80000</v>
      </c>
    </row>
    <row r="384" spans="1:12" ht="15">
      <c r="A384" s="61" t="s">
        <v>271</v>
      </c>
      <c r="B384" s="53" t="s">
        <v>273</v>
      </c>
      <c r="C384" s="82">
        <v>278126</v>
      </c>
      <c r="D384" s="82">
        <v>278126</v>
      </c>
      <c r="E384" s="82">
        <f>F384-41548.56</f>
        <v>0</v>
      </c>
      <c r="F384" s="82">
        <v>41548.56</v>
      </c>
      <c r="G384" s="64">
        <f t="shared" si="51"/>
        <v>8.24860058550913E-05</v>
      </c>
      <c r="H384" s="82">
        <f>D384-F384</f>
        <v>236577.44</v>
      </c>
      <c r="I384" s="82">
        <f>J384-20774.28</f>
        <v>13849.520000000004</v>
      </c>
      <c r="J384" s="82">
        <v>34623.8</v>
      </c>
      <c r="K384" s="56">
        <f t="shared" si="52"/>
        <v>8.592609999498448E-05</v>
      </c>
      <c r="L384" s="92">
        <f t="shared" si="44"/>
        <v>243502.2</v>
      </c>
    </row>
    <row r="385" spans="1:12" ht="14.25">
      <c r="A385" s="74" t="s">
        <v>175</v>
      </c>
      <c r="B385" s="75" t="s">
        <v>174</v>
      </c>
      <c r="C385" s="81">
        <f>C386</f>
        <v>1019220</v>
      </c>
      <c r="D385" s="81">
        <f>D386</f>
        <v>1259220</v>
      </c>
      <c r="E385" s="81">
        <f>E386</f>
        <v>257330.12</v>
      </c>
      <c r="F385" s="81">
        <f>F386</f>
        <v>806947.68</v>
      </c>
      <c r="G385" s="70">
        <f t="shared" si="51"/>
        <v>0.0016020264253979524</v>
      </c>
      <c r="H385" s="81">
        <f aca="true" t="shared" si="54" ref="H385:H397">D385-F385</f>
        <v>452272.31999999995</v>
      </c>
      <c r="I385" s="81">
        <f>I386</f>
        <v>269204.51</v>
      </c>
      <c r="J385" s="81">
        <f>J386</f>
        <v>804992.46</v>
      </c>
      <c r="K385" s="51">
        <f t="shared" si="52"/>
        <v>0.0019977547991025984</v>
      </c>
      <c r="L385" s="91">
        <f>D385-J385</f>
        <v>454227.54000000004</v>
      </c>
    </row>
    <row r="386" spans="1:12" ht="15">
      <c r="A386" s="68" t="s">
        <v>28</v>
      </c>
      <c r="B386" s="62" t="s">
        <v>33</v>
      </c>
      <c r="C386" s="82">
        <v>1019220</v>
      </c>
      <c r="D386" s="82">
        <v>1259220</v>
      </c>
      <c r="E386" s="82">
        <f>F386-549617.56</f>
        <v>257330.12</v>
      </c>
      <c r="F386" s="82">
        <v>806947.68</v>
      </c>
      <c r="G386" s="64">
        <f t="shared" si="51"/>
        <v>0.0016020264253979524</v>
      </c>
      <c r="H386" s="82">
        <f t="shared" si="54"/>
        <v>452272.31999999995</v>
      </c>
      <c r="I386" s="82">
        <f>J386-535787.95</f>
        <v>269204.51</v>
      </c>
      <c r="J386" s="82">
        <v>804992.46</v>
      </c>
      <c r="K386" s="56">
        <f t="shared" si="52"/>
        <v>0.0019977547991025984</v>
      </c>
      <c r="L386" s="92">
        <f>D386-J386</f>
        <v>454227.54000000004</v>
      </c>
    </row>
    <row r="387" spans="1:12" ht="14.25">
      <c r="A387" s="74" t="s">
        <v>178</v>
      </c>
      <c r="B387" s="75" t="s">
        <v>179</v>
      </c>
      <c r="C387" s="81">
        <f>C388+C389</f>
        <v>6985329</v>
      </c>
      <c r="D387" s="81">
        <f>D388+D389</f>
        <v>7849360.88</v>
      </c>
      <c r="E387" s="81">
        <f>E388+E389</f>
        <v>780837.5299999998</v>
      </c>
      <c r="F387" s="81">
        <f>F388+F389</f>
        <v>2302942.76</v>
      </c>
      <c r="G387" s="70">
        <f t="shared" si="51"/>
        <v>0.0045720128443753555</v>
      </c>
      <c r="H387" s="81">
        <f t="shared" si="54"/>
        <v>5546418.12</v>
      </c>
      <c r="I387" s="81">
        <f>I388+I389</f>
        <v>731592.2499999998</v>
      </c>
      <c r="J387" s="81">
        <f>J388+J389</f>
        <v>2150932.8</v>
      </c>
      <c r="K387" s="51">
        <f t="shared" si="52"/>
        <v>0.005337983319430332</v>
      </c>
      <c r="L387" s="91">
        <f>D387-J387</f>
        <v>5698428.08</v>
      </c>
    </row>
    <row r="388" spans="1:12" ht="15">
      <c r="A388" s="68" t="s">
        <v>28</v>
      </c>
      <c r="B388" s="62" t="s">
        <v>33</v>
      </c>
      <c r="C388" s="82">
        <v>6985329</v>
      </c>
      <c r="D388" s="82">
        <v>7744197.68</v>
      </c>
      <c r="E388" s="82">
        <f>F388-1522105.23</f>
        <v>780837.5299999998</v>
      </c>
      <c r="F388" s="82">
        <v>2302942.76</v>
      </c>
      <c r="G388" s="64">
        <f t="shared" si="51"/>
        <v>0.0045720128443753555</v>
      </c>
      <c r="H388" s="82">
        <f t="shared" si="54"/>
        <v>5441254.92</v>
      </c>
      <c r="I388" s="82">
        <f>J388-1419340.55</f>
        <v>731592.2499999998</v>
      </c>
      <c r="J388" s="82">
        <v>2150932.8</v>
      </c>
      <c r="K388" s="56">
        <f t="shared" si="52"/>
        <v>0.005337983319430332</v>
      </c>
      <c r="L388" s="92">
        <f aca="true" t="shared" si="55" ref="L388:L397">D388-J388</f>
        <v>5593264.88</v>
      </c>
    </row>
    <row r="389" spans="1:12" ht="15">
      <c r="A389" s="68" t="s">
        <v>50</v>
      </c>
      <c r="B389" s="62" t="s">
        <v>57</v>
      </c>
      <c r="C389" s="82">
        <v>0</v>
      </c>
      <c r="D389" s="82">
        <v>105163.2</v>
      </c>
      <c r="E389" s="82">
        <f>F389-0</f>
        <v>0</v>
      </c>
      <c r="F389" s="82">
        <v>0</v>
      </c>
      <c r="G389" s="64">
        <f t="shared" si="51"/>
        <v>0</v>
      </c>
      <c r="H389" s="82">
        <f t="shared" si="54"/>
        <v>105163.2</v>
      </c>
      <c r="I389" s="82">
        <f>J389-0</f>
        <v>0</v>
      </c>
      <c r="J389" s="82">
        <v>0</v>
      </c>
      <c r="K389" s="56">
        <f t="shared" si="52"/>
        <v>0</v>
      </c>
      <c r="L389" s="92">
        <f t="shared" si="55"/>
        <v>105163.2</v>
      </c>
    </row>
    <row r="390" spans="1:12" ht="14.25">
      <c r="A390" s="74" t="s">
        <v>189</v>
      </c>
      <c r="B390" s="75" t="s">
        <v>190</v>
      </c>
      <c r="C390" s="81">
        <f>SUM(C391:C392)</f>
        <v>4528425</v>
      </c>
      <c r="D390" s="81">
        <f>SUM(D391:D392)</f>
        <v>4926821.57</v>
      </c>
      <c r="E390" s="81">
        <f>SUM(E391:E392)</f>
        <v>986058.3199999998</v>
      </c>
      <c r="F390" s="81">
        <f>SUM(F391:F392)</f>
        <v>2490251.51</v>
      </c>
      <c r="G390" s="70">
        <f t="shared" si="51"/>
        <v>0.004943875326473648</v>
      </c>
      <c r="H390" s="81">
        <f t="shared" si="54"/>
        <v>2436570.0600000005</v>
      </c>
      <c r="I390" s="81">
        <f>SUM(I391:I392)</f>
        <v>857584.7900000003</v>
      </c>
      <c r="J390" s="81">
        <f>SUM(J391:J392)</f>
        <v>2325019.72</v>
      </c>
      <c r="K390" s="51">
        <f t="shared" si="52"/>
        <v>0.005770015912494608</v>
      </c>
      <c r="L390" s="91">
        <f t="shared" si="55"/>
        <v>2601801.85</v>
      </c>
    </row>
    <row r="391" spans="1:12" ht="15">
      <c r="A391" s="68" t="s">
        <v>28</v>
      </c>
      <c r="B391" s="62" t="s">
        <v>33</v>
      </c>
      <c r="C391" s="82">
        <v>4516713</v>
      </c>
      <c r="D391" s="82">
        <v>4915109.57</v>
      </c>
      <c r="E391" s="82">
        <f>F391-1504193.19</f>
        <v>986058.3199999998</v>
      </c>
      <c r="F391" s="82">
        <v>2490251.51</v>
      </c>
      <c r="G391" s="64">
        <f t="shared" si="51"/>
        <v>0.004943875326473648</v>
      </c>
      <c r="H391" s="82">
        <f t="shared" si="54"/>
        <v>2424858.0600000005</v>
      </c>
      <c r="I391" s="82">
        <f>J391-1467434.93</f>
        <v>857584.7900000003</v>
      </c>
      <c r="J391" s="82">
        <v>2325019.72</v>
      </c>
      <c r="K391" s="56">
        <f t="shared" si="52"/>
        <v>0.005770015912494608</v>
      </c>
      <c r="L391" s="92">
        <f>D391-J391</f>
        <v>2590089.85</v>
      </c>
    </row>
    <row r="392" spans="1:12" ht="15">
      <c r="A392" s="68" t="s">
        <v>185</v>
      </c>
      <c r="B392" s="62" t="s">
        <v>186</v>
      </c>
      <c r="C392" s="82">
        <v>11712</v>
      </c>
      <c r="D392" s="82">
        <v>11712</v>
      </c>
      <c r="E392" s="82">
        <f>F392-0</f>
        <v>0</v>
      </c>
      <c r="F392" s="82">
        <v>0</v>
      </c>
      <c r="G392" s="64">
        <f t="shared" si="51"/>
        <v>0</v>
      </c>
      <c r="H392" s="82">
        <f t="shared" si="54"/>
        <v>11712</v>
      </c>
      <c r="I392" s="82">
        <f>J392-0</f>
        <v>0</v>
      </c>
      <c r="J392" s="82">
        <v>0</v>
      </c>
      <c r="K392" s="56">
        <f t="shared" si="52"/>
        <v>0</v>
      </c>
      <c r="L392" s="92">
        <f>D392-J392</f>
        <v>11712</v>
      </c>
    </row>
    <row r="393" spans="1:12" ht="14.25">
      <c r="A393" s="74" t="s">
        <v>195</v>
      </c>
      <c r="B393" s="75" t="s">
        <v>196</v>
      </c>
      <c r="C393" s="81">
        <f>SUM(C394:C396)</f>
        <v>19722620</v>
      </c>
      <c r="D393" s="81">
        <f>SUM(D394:D396)</f>
        <v>23369218.8</v>
      </c>
      <c r="E393" s="81">
        <f>SUM(E394:E396)</f>
        <v>1851332.2600000007</v>
      </c>
      <c r="F393" s="81">
        <f>SUM(F394:F396)</f>
        <v>6182105.32</v>
      </c>
      <c r="G393" s="70">
        <f t="shared" si="51"/>
        <v>0.012273281567936679</v>
      </c>
      <c r="H393" s="81">
        <f t="shared" si="54"/>
        <v>17187113.48</v>
      </c>
      <c r="I393" s="81">
        <f>SUM(I394:I396)</f>
        <v>1926919.79</v>
      </c>
      <c r="J393" s="81">
        <f>SUM(J394:J396)</f>
        <v>5660251.41</v>
      </c>
      <c r="K393" s="51">
        <f t="shared" si="52"/>
        <v>0.014047081159561107</v>
      </c>
      <c r="L393" s="91">
        <f t="shared" si="55"/>
        <v>17708967.39</v>
      </c>
    </row>
    <row r="394" spans="1:12" ht="15">
      <c r="A394" s="68" t="s">
        <v>28</v>
      </c>
      <c r="B394" s="62" t="s">
        <v>33</v>
      </c>
      <c r="C394" s="82">
        <v>16607571</v>
      </c>
      <c r="D394" s="82">
        <v>20254169.8</v>
      </c>
      <c r="E394" s="82">
        <f>F394-4330773.06</f>
        <v>1851332.2600000007</v>
      </c>
      <c r="F394" s="82">
        <v>6182105.32</v>
      </c>
      <c r="G394" s="70">
        <f t="shared" si="51"/>
        <v>0.012273281567936679</v>
      </c>
      <c r="H394" s="82">
        <f t="shared" si="54"/>
        <v>14072064.48</v>
      </c>
      <c r="I394" s="82">
        <f>J394-3733331.62</f>
        <v>1926919.79</v>
      </c>
      <c r="J394" s="82">
        <v>5660251.41</v>
      </c>
      <c r="K394" s="56">
        <f t="shared" si="52"/>
        <v>0.014047081159561107</v>
      </c>
      <c r="L394" s="92">
        <f t="shared" si="55"/>
        <v>14593918.39</v>
      </c>
    </row>
    <row r="395" spans="1:12" ht="15">
      <c r="A395" s="68" t="s">
        <v>83</v>
      </c>
      <c r="B395" s="62" t="s">
        <v>85</v>
      </c>
      <c r="C395" s="82">
        <v>172742</v>
      </c>
      <c r="D395" s="82">
        <v>172742</v>
      </c>
      <c r="E395" s="82">
        <f>F395-0</f>
        <v>0</v>
      </c>
      <c r="F395" s="82">
        <v>0</v>
      </c>
      <c r="G395" s="70">
        <f t="shared" si="51"/>
        <v>0</v>
      </c>
      <c r="H395" s="82">
        <f t="shared" si="54"/>
        <v>172742</v>
      </c>
      <c r="I395" s="82">
        <f>J395-0</f>
        <v>0</v>
      </c>
      <c r="J395" s="82">
        <v>0</v>
      </c>
      <c r="K395" s="56">
        <f t="shared" si="52"/>
        <v>0</v>
      </c>
      <c r="L395" s="92">
        <f t="shared" si="55"/>
        <v>172742</v>
      </c>
    </row>
    <row r="396" spans="1:12" ht="15">
      <c r="A396" s="68" t="s">
        <v>151</v>
      </c>
      <c r="B396" s="53" t="s">
        <v>152</v>
      </c>
      <c r="C396" s="82">
        <v>2942307</v>
      </c>
      <c r="D396" s="82">
        <v>2942307</v>
      </c>
      <c r="E396" s="82">
        <f>F396-0</f>
        <v>0</v>
      </c>
      <c r="F396" s="82">
        <v>0</v>
      </c>
      <c r="G396" s="70">
        <f t="shared" si="51"/>
        <v>0</v>
      </c>
      <c r="H396" s="82">
        <f t="shared" si="54"/>
        <v>2942307</v>
      </c>
      <c r="I396" s="82">
        <f>J396-0</f>
        <v>0</v>
      </c>
      <c r="J396" s="82">
        <v>0</v>
      </c>
      <c r="K396" s="56">
        <f t="shared" si="52"/>
        <v>0</v>
      </c>
      <c r="L396" s="92">
        <f t="shared" si="55"/>
        <v>2942307</v>
      </c>
    </row>
    <row r="397" spans="1:12" ht="14.25">
      <c r="A397" s="74" t="s">
        <v>203</v>
      </c>
      <c r="B397" s="75" t="s">
        <v>204</v>
      </c>
      <c r="C397" s="81">
        <f>SUM(C398:C399)</f>
        <v>2497761</v>
      </c>
      <c r="D397" s="81">
        <f>SUM(D398:D399)</f>
        <v>3097761</v>
      </c>
      <c r="E397" s="81">
        <f>SUM(E398:E399)</f>
        <v>185510.43</v>
      </c>
      <c r="F397" s="81">
        <f>SUM(F398:F399)</f>
        <v>722958</v>
      </c>
      <c r="G397" s="70">
        <f t="shared" si="51"/>
        <v>0.0014352824218453082</v>
      </c>
      <c r="H397" s="81">
        <f t="shared" si="54"/>
        <v>2374803</v>
      </c>
      <c r="I397" s="81">
        <f>SUM(I398:I399)</f>
        <v>248266.01999999996</v>
      </c>
      <c r="J397" s="81">
        <f>SUM(J398:J399)</f>
        <v>660064.08</v>
      </c>
      <c r="K397" s="51">
        <f t="shared" si="52"/>
        <v>0.0016380851362697746</v>
      </c>
      <c r="L397" s="91">
        <f t="shared" si="55"/>
        <v>2437696.92</v>
      </c>
    </row>
    <row r="398" spans="1:12" ht="15">
      <c r="A398" s="68" t="s">
        <v>28</v>
      </c>
      <c r="B398" s="62" t="s">
        <v>33</v>
      </c>
      <c r="C398" s="82">
        <v>1026608</v>
      </c>
      <c r="D398" s="82">
        <v>1026608</v>
      </c>
      <c r="E398" s="82">
        <f>F398-327447.57</f>
        <v>185510.43</v>
      </c>
      <c r="F398" s="82">
        <v>512958</v>
      </c>
      <c r="G398" s="64">
        <f t="shared" si="51"/>
        <v>0.0010183711924412284</v>
      </c>
      <c r="H398" s="82">
        <f aca="true" t="shared" si="56" ref="H398:H403">D398-F398</f>
        <v>513650</v>
      </c>
      <c r="I398" s="82">
        <f>J398-327447.57</f>
        <v>185510.43</v>
      </c>
      <c r="J398" s="82">
        <v>512958</v>
      </c>
      <c r="K398" s="56">
        <f t="shared" si="52"/>
        <v>0.0012730110617906539</v>
      </c>
      <c r="L398" s="92">
        <f aca="true" t="shared" si="57" ref="L398:L403">D398-J398</f>
        <v>513650</v>
      </c>
    </row>
    <row r="399" spans="1:12" ht="15">
      <c r="A399" s="68" t="s">
        <v>207</v>
      </c>
      <c r="B399" s="62" t="s">
        <v>208</v>
      </c>
      <c r="C399" s="82">
        <v>1471153</v>
      </c>
      <c r="D399" s="82">
        <v>2071153</v>
      </c>
      <c r="E399" s="82">
        <f>F399-210000</f>
        <v>0</v>
      </c>
      <c r="F399" s="82">
        <v>210000</v>
      </c>
      <c r="G399" s="64">
        <f t="shared" si="51"/>
        <v>0.0004169112294040798</v>
      </c>
      <c r="H399" s="82">
        <f t="shared" si="56"/>
        <v>1861153</v>
      </c>
      <c r="I399" s="82">
        <f>J399-84350.49</f>
        <v>62755.58999999998</v>
      </c>
      <c r="J399" s="82">
        <v>147106.08</v>
      </c>
      <c r="K399" s="56">
        <f t="shared" si="52"/>
        <v>0.00036507407447912085</v>
      </c>
      <c r="L399" s="92">
        <f t="shared" si="57"/>
        <v>1924046.92</v>
      </c>
    </row>
    <row r="400" spans="1:12" ht="14.25">
      <c r="A400" s="74" t="s">
        <v>211</v>
      </c>
      <c r="B400" s="75" t="s">
        <v>212</v>
      </c>
      <c r="C400" s="81">
        <f>SUM(C401:C402)</f>
        <v>617402860</v>
      </c>
      <c r="D400" s="81">
        <f>SUM(D401:D402)</f>
        <v>536450170.42</v>
      </c>
      <c r="E400" s="81">
        <f>SUM(E401:E402)</f>
        <v>83136366.10000001</v>
      </c>
      <c r="F400" s="81">
        <f>SUM(F401:F402)</f>
        <v>217193702.20000002</v>
      </c>
      <c r="G400" s="70">
        <f t="shared" si="51"/>
        <v>0.43119282572869333</v>
      </c>
      <c r="H400" s="81">
        <f t="shared" si="56"/>
        <v>319256468.22</v>
      </c>
      <c r="I400" s="81">
        <f>SUM(I401:I402)</f>
        <v>83136366.10000001</v>
      </c>
      <c r="J400" s="81">
        <f>SUM(J401:J402)</f>
        <v>217193702.20000002</v>
      </c>
      <c r="K400" s="51">
        <f t="shared" si="52"/>
        <v>0.5390109627920124</v>
      </c>
      <c r="L400" s="91">
        <f t="shared" si="57"/>
        <v>319256468.22</v>
      </c>
    </row>
    <row r="401" spans="1:12" ht="15">
      <c r="A401" s="68" t="s">
        <v>39</v>
      </c>
      <c r="B401" s="62" t="s">
        <v>41</v>
      </c>
      <c r="C401" s="82">
        <v>289805860</v>
      </c>
      <c r="D401" s="82">
        <v>422575966.67</v>
      </c>
      <c r="E401" s="82">
        <f>F401-107954901.36</f>
        <v>83136366.10000001</v>
      </c>
      <c r="F401" s="82">
        <v>191091267.46</v>
      </c>
      <c r="G401" s="64">
        <f>(F401/$F$296)*100</f>
        <v>0.37937188211967826</v>
      </c>
      <c r="H401" s="82">
        <f t="shared" si="56"/>
        <v>231484699.21</v>
      </c>
      <c r="I401" s="82">
        <f>J401-107954901.36</f>
        <v>83136366.10000001</v>
      </c>
      <c r="J401" s="82">
        <v>191091267.46</v>
      </c>
      <c r="K401" s="56">
        <f>(J401/$J$296)*100</f>
        <v>0.4742323880087189</v>
      </c>
      <c r="L401" s="92">
        <f t="shared" si="57"/>
        <v>231484699.21</v>
      </c>
    </row>
    <row r="402" spans="1:12" ht="15">
      <c r="A402" s="61" t="s">
        <v>219</v>
      </c>
      <c r="B402" s="53" t="s">
        <v>220</v>
      </c>
      <c r="C402" s="82">
        <v>327597000</v>
      </c>
      <c r="D402" s="82">
        <v>113874203.75</v>
      </c>
      <c r="E402" s="82">
        <f>F402-26102434.74</f>
        <v>0</v>
      </c>
      <c r="F402" s="82">
        <v>26102434.74</v>
      </c>
      <c r="G402" s="64">
        <f>(F402/$F$296)*100</f>
        <v>0.05182094360901506</v>
      </c>
      <c r="H402" s="82">
        <f t="shared" si="56"/>
        <v>87771769.01</v>
      </c>
      <c r="I402" s="82">
        <f>J402-26102434.74</f>
        <v>0</v>
      </c>
      <c r="J402" s="82">
        <v>26102434.74</v>
      </c>
      <c r="K402" s="56">
        <f>(J402/$J$296)*100</f>
        <v>0.06477857478329346</v>
      </c>
      <c r="L402" s="92">
        <f t="shared" si="57"/>
        <v>87771769.01</v>
      </c>
    </row>
    <row r="403" spans="1:12" ht="14.25">
      <c r="A403" s="76" t="s">
        <v>221</v>
      </c>
      <c r="B403" s="77" t="s">
        <v>222</v>
      </c>
      <c r="C403" s="93">
        <v>0</v>
      </c>
      <c r="D403" s="93">
        <v>0</v>
      </c>
      <c r="E403" s="113"/>
      <c r="F403" s="113"/>
      <c r="G403" s="113"/>
      <c r="H403" s="93">
        <f t="shared" si="56"/>
        <v>0</v>
      </c>
      <c r="I403" s="113"/>
      <c r="J403" s="113"/>
      <c r="K403" s="113"/>
      <c r="L403" s="94">
        <f t="shared" si="57"/>
        <v>0</v>
      </c>
    </row>
    <row r="404" spans="1:12" ht="15.75">
      <c r="A404" s="44" t="s">
        <v>259</v>
      </c>
      <c r="B404" s="26"/>
      <c r="C404" s="26"/>
      <c r="D404" s="26"/>
      <c r="E404" s="26"/>
      <c r="F404" s="45"/>
      <c r="G404" s="38"/>
      <c r="H404" s="26"/>
      <c r="I404" s="26"/>
      <c r="J404" s="26"/>
      <c r="K404" s="26"/>
      <c r="L404" s="78" t="s">
        <v>227</v>
      </c>
    </row>
    <row r="405" spans="1:12" ht="15.75">
      <c r="A405" s="44" t="s">
        <v>260</v>
      </c>
      <c r="B405" s="26"/>
      <c r="C405" s="26"/>
      <c r="D405" s="26"/>
      <c r="E405" s="26"/>
      <c r="F405" s="26"/>
      <c r="G405" s="26"/>
      <c r="H405" s="26"/>
      <c r="I405" s="46"/>
      <c r="J405" s="26"/>
      <c r="K405" s="26"/>
      <c r="L405" s="26"/>
    </row>
    <row r="406" spans="1:12" ht="15.75">
      <c r="A406" s="44" t="s">
        <v>283</v>
      </c>
      <c r="B406" s="26"/>
      <c r="C406" s="26"/>
      <c r="D406" s="26"/>
      <c r="E406" s="26"/>
      <c r="F406" s="26"/>
      <c r="G406" s="26"/>
      <c r="H406" s="26"/>
      <c r="I406" s="26"/>
      <c r="J406" s="46"/>
      <c r="K406" s="26"/>
      <c r="L406" s="26"/>
    </row>
    <row r="407" spans="1:12" ht="15.75">
      <c r="A407" s="4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5.75">
      <c r="A408" s="44"/>
      <c r="B408" s="26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1:12" ht="15.75">
      <c r="A409" s="44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1:12" ht="15.75">
      <c r="A410" s="44"/>
      <c r="B410" s="26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1:12" ht="15.75">
      <c r="A411" s="44"/>
      <c r="B411" s="26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1:12" ht="15.75">
      <c r="A412" s="4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.75">
      <c r="A413" s="44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1:13" ht="15.75">
      <c r="A414" s="24"/>
      <c r="B414" s="26"/>
      <c r="C414" s="26"/>
      <c r="D414" s="26"/>
      <c r="E414" s="46"/>
      <c r="F414" s="26"/>
      <c r="G414" s="26"/>
      <c r="H414" s="26"/>
      <c r="I414" s="46"/>
      <c r="J414" s="26"/>
      <c r="K414" s="26"/>
      <c r="L414" s="26"/>
      <c r="M414"/>
    </row>
    <row r="415" spans="1:13" ht="12.75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/>
    </row>
    <row r="416" spans="1:13" ht="12.75">
      <c r="A416" s="39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/>
    </row>
    <row r="417" spans="1:13" ht="15.75">
      <c r="A417" s="121" t="s">
        <v>255</v>
      </c>
      <c r="B417" s="121"/>
      <c r="C417" s="116" t="s">
        <v>257</v>
      </c>
      <c r="D417" s="116"/>
      <c r="E417" s="116"/>
      <c r="F417" s="116"/>
      <c r="G417" s="116"/>
      <c r="H417" s="116"/>
      <c r="I417" s="116" t="s">
        <v>280</v>
      </c>
      <c r="J417" s="116"/>
      <c r="K417" s="116"/>
      <c r="L417" s="116"/>
      <c r="M417"/>
    </row>
    <row r="418" spans="1:13" ht="15.75">
      <c r="A418" s="121" t="s">
        <v>256</v>
      </c>
      <c r="B418" s="121"/>
      <c r="C418" s="116" t="s">
        <v>258</v>
      </c>
      <c r="D418" s="116"/>
      <c r="E418" s="116"/>
      <c r="F418" s="116"/>
      <c r="G418" s="116"/>
      <c r="H418" s="116"/>
      <c r="I418" s="124" t="s">
        <v>281</v>
      </c>
      <c r="J418" s="124"/>
      <c r="K418" s="124"/>
      <c r="L418" s="124"/>
      <c r="M418"/>
    </row>
    <row r="419" spans="1:13" ht="15.75">
      <c r="A419" s="121" t="s">
        <v>248</v>
      </c>
      <c r="B419" s="121"/>
      <c r="C419" s="116" t="s">
        <v>249</v>
      </c>
      <c r="D419" s="116"/>
      <c r="E419" s="116"/>
      <c r="F419" s="116"/>
      <c r="G419" s="116"/>
      <c r="H419" s="116"/>
      <c r="I419" s="116" t="s">
        <v>282</v>
      </c>
      <c r="J419" s="116"/>
      <c r="K419" s="116"/>
      <c r="L419" s="116"/>
      <c r="M419"/>
    </row>
    <row r="420" spans="1:13" ht="12.75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/>
    </row>
    <row r="421" spans="1:13" ht="12.75">
      <c r="A421" s="39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/>
    </row>
    <row r="422" spans="1:12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1:12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ht="15">
      <c r="A425" s="43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1:12" ht="12.75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</sheetData>
  <sheetProtection/>
  <mergeCells count="33">
    <mergeCell ref="A417:B417"/>
    <mergeCell ref="C417:H417"/>
    <mergeCell ref="I417:L417"/>
    <mergeCell ref="A418:B418"/>
    <mergeCell ref="C418:H418"/>
    <mergeCell ref="I418:L418"/>
    <mergeCell ref="A419:B419"/>
    <mergeCell ref="C419:H419"/>
    <mergeCell ref="I419:L419"/>
    <mergeCell ref="A296:B296"/>
    <mergeCell ref="E309:G309"/>
    <mergeCell ref="I309:K309"/>
    <mergeCell ref="A302:L302"/>
    <mergeCell ref="A303:L303"/>
    <mergeCell ref="A304:L304"/>
    <mergeCell ref="A305:L305"/>
    <mergeCell ref="A153:L153"/>
    <mergeCell ref="A154:L154"/>
    <mergeCell ref="A155:L155"/>
    <mergeCell ref="A156:L156"/>
    <mergeCell ref="A157:L157"/>
    <mergeCell ref="E160:G160"/>
    <mergeCell ref="I160:K160"/>
    <mergeCell ref="N329:O329"/>
    <mergeCell ref="M177:O177"/>
    <mergeCell ref="A4:L4"/>
    <mergeCell ref="A5:L5"/>
    <mergeCell ref="A6:L6"/>
    <mergeCell ref="A7:L7"/>
    <mergeCell ref="A8:L8"/>
    <mergeCell ref="E11:G11"/>
    <mergeCell ref="I11:K11"/>
    <mergeCell ref="A306:L306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48" max="11" man="1"/>
    <brk id="297" max="11" man="1"/>
  </rowBreaks>
  <ignoredErrors>
    <ignoredError sqref="J260 I313:J313 J321 J322 E314 I314 C400:F400 J400" formulaRange="1"/>
    <ignoredError sqref="E26:F26 E296 F295 E29:F29 H27:H28 E35:F35 H30:H32 H34 E97:F97 H98 E103:F103 H102 H104:H106 E143:F143 H191 E230:F230 H231 E266:F266 E339:F339 E343:F343 H340 H342 E345:F345 H344 F373 H337:H338 H380:H381 H403 J373 H348:H350 H345:J345 H343:J343 H339:J339 H333:J333 H295:J296 H291 H216 H230:J230 J249 H287:H290 H26 H29 H35 H72:H75 H88 H97:J97 H101:I101 H103:J103 H142 H143:J143 L26:L32 L34:L40 L62:L67 L323:L328 L337:L340 L369:L370 L397:L398 L403 H36:H40 H58:I58 H107:I107 H144:H147 H193:H199 H232 H77:H80 H114 H233:H235 H228:I228 H293:H294 H87 H397:H398 L293 H221:H225 H238:I239 L72:L75 L77:L80 L87:L91 L94:L95 L97:L98 L101:L112 H108:H112 L120:L122 H62:H67 H115:I115 L129:L131 L142:L147 L179:L180 L182:L185 L189:L191 L193:L199 E190 L201:L203 H201:H203 L211:L212 H211:H212 L219:L225 L214 H214 L249:L255 L258:L262 L271:L272 H271 L342:L346 H346 L378 H378 L380:L381 H56:H57 I83 L318:L321 E382 E378:E380 E375 H54 H393:H394 H189:I190 I266:J266 L352:L353 H352:H353 I214:I216 H258:H262 H240 G256:I257 L42:L45 L47:L49 L83:L84 H83:H84 L114:L115 L117 L124:L125 L127 L133:L140 H133:H140 H205:H209 L206:L209 L216:L217 L228 L230:L235 L237:L243 L245:L247 I260 H266:H267 L266:L267 H269:I269 L269 L274:L280 L333:L335 H334:H335 L348:L350 H355:H358 L355:L358 H372:H376 L373:L376 L54 H42:H45 H46 H50:H52 H47:H49 H318:H321 E260:E264 H89:H91 F124 G118:H119 F123:H123 F120 H117 H315:H316 H322 L393:L394 H95:I95 H120:H122 H124:H125 H129:H131 J179 I375 I377:I380 I382 I385:J385 G126:H126 G128:H128 I240 F44 E385:F385 F49 H127:I127 L363:L364 L366:L367 E115 E201 H237 H360:H361 I370:I373 H59:H60 L56:L60 E171:G171 I171:L171 L187 E211:F211 I211 L282:L291 H323:H328 E369:F369 H369:J369 E366:F366 H366:I366 E363:F363 H363:J363 L360:L361 E365 H368:I368 E368 H365:I365 E370:E373 I397 L390:L391 H390:H391 E395 I395 L400:L401 H400:H401 E206 H364 H367 E117:E120 J124 H187 H182:H185 H179:H180 F179 F178:I178 F182 F185 H177:I177 F186:H186 I179 F177 G181:H181 I206 H385:H388 L385:L388 H70:I70 I59 H94 H280 H272 H274:H278 H286 H285:J285 H282:H284 H279:J279 E285:F285 E279:F279 E273:J273 E281 E282 I282 E274 I274 E277 H330 H370 E57:E59 I54 E83 E69:E82 E84:E94 I122:I124 I118:I120 I117 I121 E123:E124 E126 E128 I126 I128 I132 E185 E177 E186 E182 E181 E178 E179 E176 E180 E183:E184 E187 E208 E207 E209 H176 I181:I182 I185:I186 E256:E257 I277 E284 I284 E283 I283 E322:E323 E316 E321:F321 E318:F318 E333:F333 E315 E336 E319:E320 E324:E325 E317:F317 F316 F322 E329 E334:E335 E327:E328 E331 E330 I315 I319:I320 I327:I331 I324:I325 J26 J29 J35 I49:I52 I47 I44 I42 I35 I29 I26 I24:I25 I27:I28 I30:I34 I36:I41 I43 I45:I46 I48 I53 E54:E55 E49:E51 E47 E44 E43 E45:E46 E48 E52:E53 E56 E219 H220 H219:I219 H217 E218:I218 E217 I217 E220 F219 I220 H255 E254 E251:E252 E245:E249 H254:I254 E242:E243 H252:H253 I243 F254 G244:H244 H241:H243 H246:H247 H245:I245 H251:I251 H249:I249 H250 F249 E244 E253 E250 I250 F248:I248 F245 F246:F247 I246:I247 E241 I241:I242 I244 E255 I252:I253 I255 G274 G281:I281" formula="1"/>
    <ignoredError sqref="A15:A21 A22:B22 A33:B33 A93:B93 A123:B123 A132:B132 A181:B181 A192:B192 A193:A199 A200:B200 A213:B213 A256:B256 A257:A262 A273:B273 A341:B341 M341:IV341 A23:A32 A94:A122 A124:A131 A133:A147 A201:A212 A263:B264 A34:A70 A72:A81 A83:A92 A163:A180 A182:A191 A214:A255 A265:A272 A274:A295 A332:A340 A403 A390:A401 A342:A364 A366:A388 A313:A331" numberStoredAsText="1"/>
    <ignoredError sqref="G337:G340 G271 G211:G212 G201:G203 G189:G191 G295:G296 K182:K185 K282:K289 K271:K272 K211:K212 K201:K203 K179:K180 K258:K262 K249:K255 K189:K191 K296 G142:G147 G101:G112 G97:G98 G87:G91 G77:G80 K142:K147 K129:K131 K101:K112 K97:K98 K87:K91 K62:K67 K42:K45 K34:K40 K77:K80 K352:K353 K342:K346 K337:K340 K323:K328 K318:K320 G221:G225 K219:K225 K72:K75 G72:G75 K94:K95 G94:G95 K120:K122 K193:K199 G193:G199 K214 G214 K26:K32 G26:G32 G34:G40 G258:G262 K47:K49 K83:K84 G83:G84 G114:G115 K114:K115 K117 K124:K125 K127 K133:K140 G133:G140 K205:K209 G205:G209 K216:K217 G216 K228 G228 K230:K235 G230:G235 K237:K243 G237:G240 K245:K247 K266:K267 G266:G267 K269 G269 K274:K280 K333:K335 K348:K350 K355:K358 G355:G358 G348:G350 G342:G346 G352:G353 K54 G42:G45 G117 G124:G125 G120:G122 G129:G131 G127 G360:G361 K363:K364 K56:K60 K187 G287:G290 G363:G364 K360:K361 G187 G176:G177 G179:G180 G182:G185 G282:G286 G275:G280 G272 G365 G368 G385:G388 G400:G401 G390:G391 G369:G370 G366:G367 G393:G394 G378 G397:G398 G380:G381 G373:G376 K385:K388 K400:K401 K390:K391 K366:K367 K397:K398 K380:K381 K378 K393:K394 K373:K376 K369:K370 G315:G316 G331 G329 G317 G336 G322 G333:G335 G318:G321 G323:G328 G330 G70 G50:G52 G46 G56:G60 G47:G49 G62:G67 G54 G217 G219:G220 G249:G255 G245:G247 G241:G243 J185 J190 J375 J318 H171 I317 I321 I318 I322 I323 I316" evalError="1" formula="1"/>
    <ignoredError sqref="G312:G314 K176:K177 K290 K295 K312:K316 K321 K14:K25 G41 G33 G14:G25 K172 G172 G341 G354 G347 G351 G359 G382 G395 G377 G371:G372 G379 G384 G399 G383 G396 G392 G402 G389 K382 K395 K379 K384 K377 K399 K365 K371:K372 K396 K383 K368 K392 K402 K389 G362 G53 G71 G55 G68:G69 G61" evalError="1"/>
    <ignoredError sqref="J185 J190 J375 J318 H171 I317 I321 I318 I322 I323 I316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2022-07-15T19:03:39Z</cp:lastPrinted>
  <dcterms:created xsi:type="dcterms:W3CDTF">2005-03-08T15:13:02Z</dcterms:created>
  <dcterms:modified xsi:type="dcterms:W3CDTF">2022-07-27T14:14:35Z</dcterms:modified>
  <cp:category/>
  <cp:version/>
  <cp:contentType/>
  <cp:contentStatus/>
</cp:coreProperties>
</file>