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45" windowWidth="7680" windowHeight="7590" activeTab="0"/>
  </bookViews>
  <sheets>
    <sheet name="Anexo II - 2º BIM" sheetId="1" r:id="rId1"/>
  </sheets>
  <definedNames>
    <definedName name="_xlnm.Print_Area" localSheetId="0">'Anexo II - 2º BIM'!$A$1:$L$401</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fullCalcOnLoad="1"/>
</workbook>
</file>

<file path=xl/sharedStrings.xml><?xml version="1.0" encoding="utf-8"?>
<sst xmlns="http://schemas.openxmlformats.org/spreadsheetml/2006/main" count="707" uniqueCount="283">
  <si>
    <t>RELATÓRIO RESUMIDO DA EXECUÇÃO ORÇAMENTÁRIA</t>
  </si>
  <si>
    <t>DEMONSTRATIVO DA EXECUÇÃO DAS DESPESAS POR FUNÇÃO/SUBFUNÇÃO</t>
  </si>
  <si>
    <t>ORÇAMENTOS FISCAL E DA SEGURIDADE SOCIAL</t>
  </si>
  <si>
    <t>DOTAÇÃO</t>
  </si>
  <si>
    <t>DESPESAS EMPENHADAS</t>
  </si>
  <si>
    <t>DESPESAS LIQUIDADAS</t>
  </si>
  <si>
    <t>FUNÇÃO/SUBFUNÇÃO</t>
  </si>
  <si>
    <t>INICIAL</t>
  </si>
  <si>
    <t>ATUALIZADA</t>
  </si>
  <si>
    <t>No Bimestre</t>
  </si>
  <si>
    <t>Até o Bimestre</t>
  </si>
  <si>
    <t>%</t>
  </si>
  <si>
    <t>(a)</t>
  </si>
  <si>
    <t>(b)</t>
  </si>
  <si>
    <t>GOVERNO DO ESTADO DO RIO DE JANEIRO</t>
  </si>
  <si>
    <t>DESPESAS (EXCETO INTRA-ORÇAMENTÁRIAS) (I)</t>
  </si>
  <si>
    <t>DESPESAS (INTRA-ORÇAMENTÁRIAS) (II)</t>
  </si>
  <si>
    <t>(b/total b)</t>
  </si>
  <si>
    <t>SALDO</t>
  </si>
  <si>
    <t>(c) = (a - b)</t>
  </si>
  <si>
    <t>(d)</t>
  </si>
  <si>
    <t>(d/total d)</t>
  </si>
  <si>
    <t>(e) = (a - d)</t>
  </si>
  <si>
    <t>COD</t>
  </si>
  <si>
    <t>Legislativa</t>
  </si>
  <si>
    <t>01</t>
  </si>
  <si>
    <t>031</t>
  </si>
  <si>
    <t>032</t>
  </si>
  <si>
    <t>122</t>
  </si>
  <si>
    <t>128</t>
  </si>
  <si>
    <t>542</t>
  </si>
  <si>
    <t>Ação Legislativa</t>
  </si>
  <si>
    <t>Controle Externo</t>
  </si>
  <si>
    <t>Administração Geral</t>
  </si>
  <si>
    <t>Formação de Recursos Humanos</t>
  </si>
  <si>
    <t>Controle Ambiental</t>
  </si>
  <si>
    <t>02</t>
  </si>
  <si>
    <t>Judiciária</t>
  </si>
  <si>
    <t>061</t>
  </si>
  <si>
    <t>123</t>
  </si>
  <si>
    <t>Ação Judiciária</t>
  </si>
  <si>
    <t>Administração Financeira</t>
  </si>
  <si>
    <t>03</t>
  </si>
  <si>
    <t>Essencial à Justiça</t>
  </si>
  <si>
    <t>091</t>
  </si>
  <si>
    <t>Defesa da Ordem Jurídica</t>
  </si>
  <si>
    <t>04</t>
  </si>
  <si>
    <t>Administração</t>
  </si>
  <si>
    <t>121</t>
  </si>
  <si>
    <t>125</t>
  </si>
  <si>
    <t>126</t>
  </si>
  <si>
    <t>127</t>
  </si>
  <si>
    <t>241</t>
  </si>
  <si>
    <t>422</t>
  </si>
  <si>
    <t>694</t>
  </si>
  <si>
    <t>Planejamento e Orçamento</t>
  </si>
  <si>
    <t>Normatização e Fiscalização</t>
  </si>
  <si>
    <t>Tecnologia da Informação</t>
  </si>
  <si>
    <t>Ordenamento Territorial</t>
  </si>
  <si>
    <t>Assistência ao Idoso</t>
  </si>
  <si>
    <t>Direitos Individuais, Coletivos e Difusos</t>
  </si>
  <si>
    <t>Serviços Financeiros</t>
  </si>
  <si>
    <t>Segurança Pública</t>
  </si>
  <si>
    <t>06</t>
  </si>
  <si>
    <t>181</t>
  </si>
  <si>
    <t>182</t>
  </si>
  <si>
    <t>183</t>
  </si>
  <si>
    <t>302</t>
  </si>
  <si>
    <t>306</t>
  </si>
  <si>
    <t>421</t>
  </si>
  <si>
    <t>781</t>
  </si>
  <si>
    <t>782</t>
  </si>
  <si>
    <t>Policiamento</t>
  </si>
  <si>
    <t>Defesa Civil</t>
  </si>
  <si>
    <t>Informação e Inteligência</t>
  </si>
  <si>
    <t>Assistência Hospitalar e Ambulatorial</t>
  </si>
  <si>
    <t>Alimentação e Nutrição</t>
  </si>
  <si>
    <t>Custódia e Reintegração Social</t>
  </si>
  <si>
    <t>Transporte Aéreo</t>
  </si>
  <si>
    <t>Transporte Rodoviário</t>
  </si>
  <si>
    <t>Assistência Social</t>
  </si>
  <si>
    <t>08</t>
  </si>
  <si>
    <t>243</t>
  </si>
  <si>
    <t>244</t>
  </si>
  <si>
    <t>Assistência à Criança e ao Adolescente</t>
  </si>
  <si>
    <t>Assistência Comunitária</t>
  </si>
  <si>
    <t>Previdência Social</t>
  </si>
  <si>
    <t>09</t>
  </si>
  <si>
    <t>272</t>
  </si>
  <si>
    <t>Previdência do Regime Estatutário</t>
  </si>
  <si>
    <t>10</t>
  </si>
  <si>
    <t>Saúde</t>
  </si>
  <si>
    <t>301</t>
  </si>
  <si>
    <t>303</t>
  </si>
  <si>
    <t>304</t>
  </si>
  <si>
    <t>305</t>
  </si>
  <si>
    <t>571</t>
  </si>
  <si>
    <t>573</t>
  </si>
  <si>
    <t>Atenção Básica</t>
  </si>
  <si>
    <t>Suporte Profilático e Terapêutico</t>
  </si>
  <si>
    <t>Vigilância Sanitária</t>
  </si>
  <si>
    <t>Vigilância Epidemiológica</t>
  </si>
  <si>
    <t>Desenvolvimento Científico</t>
  </si>
  <si>
    <t>Trabalho</t>
  </si>
  <si>
    <t>11</t>
  </si>
  <si>
    <t>333</t>
  </si>
  <si>
    <t>334</t>
  </si>
  <si>
    <t>Empregabilidade</t>
  </si>
  <si>
    <t>Fomento ao Trabalho</t>
  </si>
  <si>
    <t>12</t>
  </si>
  <si>
    <t>Educação</t>
  </si>
  <si>
    <t>361</t>
  </si>
  <si>
    <t>362</t>
  </si>
  <si>
    <t>363</t>
  </si>
  <si>
    <t>364</t>
  </si>
  <si>
    <t>366</t>
  </si>
  <si>
    <t>367</t>
  </si>
  <si>
    <t>392</t>
  </si>
  <si>
    <t>Ensino Fundamental</t>
  </si>
  <si>
    <t>Ensino Médio</t>
  </si>
  <si>
    <t>Ensino Profissional</t>
  </si>
  <si>
    <t>Ensino Superior</t>
  </si>
  <si>
    <t>Educação de Jovens e Adultos</t>
  </si>
  <si>
    <t>Educação Especial</t>
  </si>
  <si>
    <t>Difusão Cultural</t>
  </si>
  <si>
    <t>13</t>
  </si>
  <si>
    <t>Cultura</t>
  </si>
  <si>
    <t>391</t>
  </si>
  <si>
    <t>Patrimônio Histór, Artístico e Arqueológico</t>
  </si>
  <si>
    <t>14</t>
  </si>
  <si>
    <t>Direitos da Cidadania</t>
  </si>
  <si>
    <t>242</t>
  </si>
  <si>
    <t>Assistência ao Portador de Deficiência</t>
  </si>
  <si>
    <t>15</t>
  </si>
  <si>
    <t>Urbanismo</t>
  </si>
  <si>
    <t>451</t>
  </si>
  <si>
    <t>Infraestrutura Urbana</t>
  </si>
  <si>
    <t>Habitação</t>
  </si>
  <si>
    <t>16</t>
  </si>
  <si>
    <t>482</t>
  </si>
  <si>
    <t>Habitação Urbana</t>
  </si>
  <si>
    <t>17</t>
  </si>
  <si>
    <t>Saneamento</t>
  </si>
  <si>
    <t>512</t>
  </si>
  <si>
    <t>Saneamento Básico Urbano</t>
  </si>
  <si>
    <t>543</t>
  </si>
  <si>
    <t>Recuperação de Áreas Degradadas</t>
  </si>
  <si>
    <t>544</t>
  </si>
  <si>
    <t>Recursos Hídricos</t>
  </si>
  <si>
    <t>18</t>
  </si>
  <si>
    <t>Gestão Ambiental</t>
  </si>
  <si>
    <t>453</t>
  </si>
  <si>
    <t>Transportes Coletivos Urbanos</t>
  </si>
  <si>
    <t>541</t>
  </si>
  <si>
    <t>Preservação e Conservação Ambiental</t>
  </si>
  <si>
    <t>601</t>
  </si>
  <si>
    <t>Promoção da Produção Vegetal</t>
  </si>
  <si>
    <t>Continuação</t>
  </si>
  <si>
    <t>19</t>
  </si>
  <si>
    <t>Ciência e Tecnologia</t>
  </si>
  <si>
    <t>572</t>
  </si>
  <si>
    <t>Desenvolvimento Tecnológico e Engenharia</t>
  </si>
  <si>
    <t>20</t>
  </si>
  <si>
    <t>Agricultura</t>
  </si>
  <si>
    <t>131</t>
  </si>
  <si>
    <t>Comunicação Social</t>
  </si>
  <si>
    <t>602</t>
  </si>
  <si>
    <t>Promoção da Produção Animal</t>
  </si>
  <si>
    <t>604</t>
  </si>
  <si>
    <t>Defesa Sanitária Animal</t>
  </si>
  <si>
    <t>605</t>
  </si>
  <si>
    <t>Abastecimento</t>
  </si>
  <si>
    <t>606</t>
  </si>
  <si>
    <t>Extensão Rural</t>
  </si>
  <si>
    <t>Organização Agrária</t>
  </si>
  <si>
    <t>21</t>
  </si>
  <si>
    <t>631</t>
  </si>
  <si>
    <t>Reforma Agrária</t>
  </si>
  <si>
    <t>22</t>
  </si>
  <si>
    <t>Indústria</t>
  </si>
  <si>
    <t>661</t>
  </si>
  <si>
    <t>Promoção Industrial</t>
  </si>
  <si>
    <t>663</t>
  </si>
  <si>
    <t>Mineração</t>
  </si>
  <si>
    <t>665</t>
  </si>
  <si>
    <t>695</t>
  </si>
  <si>
    <t>Turismo</t>
  </si>
  <si>
    <t>751</t>
  </si>
  <si>
    <t>Conservação de Energia</t>
  </si>
  <si>
    <t>23</t>
  </si>
  <si>
    <t>Comércio e Serviços</t>
  </si>
  <si>
    <t>691</t>
  </si>
  <si>
    <t>Promoção Comercial</t>
  </si>
  <si>
    <t>24</t>
  </si>
  <si>
    <t>Comunicações</t>
  </si>
  <si>
    <t>26</t>
  </si>
  <si>
    <t>Transporte</t>
  </si>
  <si>
    <t>783</t>
  </si>
  <si>
    <t>Transporte Ferroviário</t>
  </si>
  <si>
    <t>784</t>
  </si>
  <si>
    <t>Transporte Hidroviário</t>
  </si>
  <si>
    <t>785</t>
  </si>
  <si>
    <t>Transportes Especiais</t>
  </si>
  <si>
    <t>27</t>
  </si>
  <si>
    <t>Desporto e Lazer</t>
  </si>
  <si>
    <t>811</t>
  </si>
  <si>
    <t>Desporto de Rendimento</t>
  </si>
  <si>
    <t>812</t>
  </si>
  <si>
    <t>Desporto Comunitário</t>
  </si>
  <si>
    <t>813</t>
  </si>
  <si>
    <t>Lazer</t>
  </si>
  <si>
    <t>28</t>
  </si>
  <si>
    <t>Encargos Especiais</t>
  </si>
  <si>
    <t>841</t>
  </si>
  <si>
    <t>Refinanciamento da Dívida Interna</t>
  </si>
  <si>
    <t>843</t>
  </si>
  <si>
    <t>Serviço da Dívida Interna</t>
  </si>
  <si>
    <t>844</t>
  </si>
  <si>
    <t>Serviço da Dívida Externa</t>
  </si>
  <si>
    <t>846</t>
  </si>
  <si>
    <t>Outros Encargos Especiais</t>
  </si>
  <si>
    <t>99</t>
  </si>
  <si>
    <t>Reserva de Contingência</t>
  </si>
  <si>
    <t>999</t>
  </si>
  <si>
    <t>Reserva de Contingência do RPPS</t>
  </si>
  <si>
    <t>TOTAL (III) = (I) + (II)</t>
  </si>
  <si>
    <t>Continua (2/3)</t>
  </si>
  <si>
    <t>(3/3)</t>
  </si>
  <si>
    <t>Continua (1/3)</t>
  </si>
  <si>
    <t>092</t>
  </si>
  <si>
    <t>Representação Judicial e Extrajudicial</t>
  </si>
  <si>
    <t>Controle Interno</t>
  </si>
  <si>
    <t>124</t>
  </si>
  <si>
    <t>129</t>
  </si>
  <si>
    <t>Administração de Receitas</t>
  </si>
  <si>
    <t>Administração de Concessões</t>
  </si>
  <si>
    <t>130</t>
  </si>
  <si>
    <t>Difusão do Conhecimento Científico e Tecnológico</t>
  </si>
  <si>
    <t>332</t>
  </si>
  <si>
    <t>Relações de Trabalho</t>
  </si>
  <si>
    <t>RREO - Anexo 2 (LRF, Art 52, inciso II, alínea "c")</t>
  </si>
  <si>
    <t>Difusão do Conhecimento Científ e Tecnológ</t>
  </si>
  <si>
    <t>331</t>
  </si>
  <si>
    <t>Proteção e Benefícios ao Trabalhador</t>
  </si>
  <si>
    <t>692</t>
  </si>
  <si>
    <t>Comercialização</t>
  </si>
  <si>
    <t>997</t>
  </si>
  <si>
    <t>Reserva do Regime Próprio de Previdência do Servidor - RPPS</t>
  </si>
  <si>
    <t xml:space="preserve">     Contador - CRC-RJ-097281/O-6</t>
  </si>
  <si>
    <t xml:space="preserve">Contador - CRC-RJ-079208/O-8 </t>
  </si>
  <si>
    <t>Normalização e Qualidade</t>
  </si>
  <si>
    <t>368</t>
  </si>
  <si>
    <t>Educação Básica</t>
  </si>
  <si>
    <t>752</t>
  </si>
  <si>
    <t>Energia Elétrica</t>
  </si>
  <si>
    <t>Renato Ferreira Costa</t>
  </si>
  <si>
    <t>Coordenador - ID: 4.284.985-3</t>
  </si>
  <si>
    <t>Ronald Marcio G. Rodrigues</t>
  </si>
  <si>
    <t>Superintendente - ID: 1.943.584-3</t>
  </si>
  <si>
    <t>Contadora - CRC-RJ-115174/O-0</t>
  </si>
  <si>
    <t>Subsecretária de Estado - ID: 4.412.059-1</t>
  </si>
  <si>
    <t>Stephanie Guimarães da Silva</t>
  </si>
  <si>
    <t>FONTE: Siafe-Rio - Secretaria de Estado de Fazenda.</t>
  </si>
  <si>
    <t>Obs.:  1 - Excluídas a Imprensa Oficial, a CEDAE e a AGERIO por não se enquadrarem no conceito de Empresa Dependente.</t>
  </si>
  <si>
    <t>481</t>
  </si>
  <si>
    <t>Habitação Rural</t>
  </si>
  <si>
    <t xml:space="preserve"> Assistência ao Portador de Deficiência</t>
  </si>
  <si>
    <t xml:space="preserve"> Formação de Recursos Humanos</t>
  </si>
  <si>
    <t xml:space="preserve"> Assistência Comunitária</t>
  </si>
  <si>
    <t>FUNÇÃO/SUBFUNÇÃO - INTRA-ORÇAMENTÁRIAS</t>
  </si>
  <si>
    <t>(b/III b)</t>
  </si>
  <si>
    <t>(d/III d)</t>
  </si>
  <si>
    <t xml:space="preserve"> Tecnologia da Informação</t>
  </si>
  <si>
    <t>Patrimônio Histórico, Artístico e Arqueológico</t>
  </si>
  <si>
    <t>608</t>
  </si>
  <si>
    <t>609</t>
  </si>
  <si>
    <t>Promoção da Produção Agropecuária</t>
  </si>
  <si>
    <t>Defesa Agropecuária</t>
  </si>
  <si>
    <t>693</t>
  </si>
  <si>
    <t>Comércio Exterior</t>
  </si>
  <si>
    <t xml:space="preserve">          2 - Imprensa Oficial, CEDAE e AGERIO não constam nos Orçamentos Fiscal e da Seguridade Social no exercício de 2020.</t>
  </si>
  <si>
    <t>JANEIRO A JUNHO 2020/BIMESTRE MAIO-JUNHO</t>
  </si>
  <si>
    <t>Emissão: 20/07/2020</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</si>
</sst>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_);\(#,##0.0\)"/>
    <numFmt numFmtId="173" formatCode="_(* #,##0.0_);_(* \(#,##0.0\);_(* &quot;-&quot;??_);_(@_)"/>
    <numFmt numFmtId="174" formatCode="_(* #,##0_);_(* \(#,##0\);_(* &quot;-&quot;??_);_(@_)"/>
    <numFmt numFmtId="175" formatCode="_(* #,##0.000_);_(* \(#,##0.000\);_(* &quot;-&quot;??_);_(@_)"/>
    <numFmt numFmtId="176" formatCode="_(* #,##0.0000_);_(* \(#,##0.0000\);_(* &quot;-&quot;??_);_(@_)"/>
  </numFmts>
  <fonts count="46">
    <font>
      <sz val="10"/>
      <name val="Arial"/>
      <family val="0"/>
    </font>
    <font>
      <sz val="8"/>
      <name val="Times New Roman"/>
      <family val="1"/>
    </font>
    <font>
      <sz val="11"/>
      <name val="Times New Roman"/>
      <family val="1"/>
    </font>
    <font>
      <sz val="10"/>
      <name val="Times New Roman"/>
      <family val="1"/>
    </font>
    <font>
      <sz val="12"/>
      <name val="Times New Roman"/>
      <family val="1"/>
    </font>
    <font>
      <b/>
      <sz val="12"/>
      <name val="Times New Roman"/>
      <family val="1"/>
    </font>
    <font>
      <b/>
      <sz val="11.5"/>
      <name val="Times New Roman"/>
      <family val="1"/>
    </font>
    <font>
      <sz val="11.5"/>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10"/>
      <name val="Times New Roman"/>
      <family val="1"/>
    </font>
    <font>
      <b/>
      <sz val="11"/>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Times New Roman"/>
      <family val="1"/>
    </font>
    <font>
      <b/>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16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171" fontId="0" fillId="0" borderId="0" applyFont="0" applyFill="0" applyBorder="0" applyAlignment="0" applyProtection="0"/>
  </cellStyleXfs>
  <cellXfs count="111">
    <xf numFmtId="0" fontId="0" fillId="0" borderId="0" xfId="0" applyAlignment="1">
      <alignment/>
    </xf>
    <xf numFmtId="49" fontId="1" fillId="0" borderId="0" xfId="0" applyNumberFormat="1" applyFont="1" applyFill="1" applyAlignment="1">
      <alignment horizontal="center"/>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Fill="1" applyAlignment="1">
      <alignment/>
    </xf>
    <xf numFmtId="0" fontId="5"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174" fontId="2" fillId="0" borderId="0" xfId="60" applyNumberFormat="1" applyFont="1" applyFill="1" applyAlignment="1">
      <alignment/>
    </xf>
    <xf numFmtId="174" fontId="2" fillId="0" borderId="0" xfId="0" applyNumberFormat="1" applyFont="1" applyFill="1" applyAlignment="1">
      <alignment/>
    </xf>
    <xf numFmtId="49" fontId="5" fillId="33" borderId="10" xfId="0" applyNumberFormat="1" applyFont="1" applyFill="1" applyBorder="1" applyAlignment="1">
      <alignment horizontal="center"/>
    </xf>
    <xf numFmtId="0" fontId="5" fillId="33" borderId="11" xfId="0" applyFont="1" applyFill="1" applyBorder="1" applyAlignment="1">
      <alignment/>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9" fontId="5"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49" fontId="5" fillId="33" borderId="16" xfId="0" applyNumberFormat="1" applyFont="1" applyFill="1" applyBorder="1" applyAlignment="1">
      <alignment horizontal="center"/>
    </xf>
    <xf numFmtId="0" fontId="5" fillId="33" borderId="17" xfId="0" applyFont="1" applyFill="1" applyBorder="1" applyAlignment="1">
      <alignment/>
    </xf>
    <xf numFmtId="0" fontId="5" fillId="33" borderId="17" xfId="0" applyFont="1" applyFill="1" applyBorder="1" applyAlignment="1">
      <alignment horizont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49" fontId="4" fillId="34" borderId="0" xfId="0" applyNumberFormat="1" applyFont="1" applyFill="1" applyAlignment="1">
      <alignment horizontal="center"/>
    </xf>
    <xf numFmtId="0" fontId="4" fillId="34" borderId="0" xfId="0" applyFont="1" applyFill="1" applyAlignment="1">
      <alignment horizontal="right"/>
    </xf>
    <xf numFmtId="0" fontId="4" fillId="34" borderId="0" xfId="0" applyFont="1" applyFill="1" applyAlignment="1">
      <alignment/>
    </xf>
    <xf numFmtId="49" fontId="4" fillId="34" borderId="0" xfId="0" applyNumberFormat="1" applyFont="1" applyFill="1" applyAlignment="1">
      <alignment/>
    </xf>
    <xf numFmtId="0" fontId="4" fillId="34" borderId="0" xfId="0" applyFont="1" applyFill="1" applyBorder="1" applyAlignment="1">
      <alignment/>
    </xf>
    <xf numFmtId="172" fontId="4" fillId="34" borderId="0" xfId="0" applyNumberFormat="1" applyFont="1" applyFill="1" applyAlignment="1">
      <alignment/>
    </xf>
    <xf numFmtId="167" fontId="4" fillId="34" borderId="0" xfId="0" applyNumberFormat="1" applyFont="1" applyFill="1" applyAlignment="1">
      <alignment horizontal="right"/>
    </xf>
    <xf numFmtId="49" fontId="4" fillId="34" borderId="0" xfId="0" applyNumberFormat="1" applyFont="1" applyFill="1" applyBorder="1" applyAlignment="1">
      <alignment horizontal="center"/>
    </xf>
    <xf numFmtId="174" fontId="4" fillId="34" borderId="0" xfId="60" applyNumberFormat="1" applyFont="1" applyFill="1" applyBorder="1" applyAlignment="1">
      <alignment/>
    </xf>
    <xf numFmtId="171" fontId="4" fillId="34" borderId="0" xfId="60" applyFont="1" applyFill="1" applyBorder="1" applyAlignment="1">
      <alignment/>
    </xf>
    <xf numFmtId="49" fontId="2" fillId="34" borderId="0" xfId="0" applyNumberFormat="1" applyFont="1" applyFill="1" applyAlignment="1">
      <alignment horizontal="left"/>
    </xf>
    <xf numFmtId="0" fontId="2" fillId="34" borderId="0" xfId="0" applyFont="1" applyFill="1" applyAlignment="1">
      <alignment/>
    </xf>
    <xf numFmtId="0" fontId="3" fillId="34" borderId="0" xfId="0" applyFont="1" applyFill="1" applyAlignment="1">
      <alignment/>
    </xf>
    <xf numFmtId="174" fontId="5" fillId="34" borderId="0" xfId="60" applyNumberFormat="1" applyFont="1" applyFill="1" applyBorder="1" applyAlignment="1">
      <alignment/>
    </xf>
    <xf numFmtId="171" fontId="5" fillId="34" borderId="0" xfId="60" applyFont="1" applyFill="1" applyBorder="1" applyAlignment="1">
      <alignment/>
    </xf>
    <xf numFmtId="49" fontId="1" fillId="34" borderId="0" xfId="0" applyNumberFormat="1" applyFont="1" applyFill="1" applyAlignment="1">
      <alignment horizontal="center"/>
    </xf>
    <xf numFmtId="171" fontId="4" fillId="34" borderId="0" xfId="60" applyFont="1" applyFill="1" applyAlignment="1">
      <alignment horizontal="center"/>
    </xf>
    <xf numFmtId="174" fontId="4" fillId="34" borderId="0" xfId="0" applyNumberFormat="1" applyFont="1" applyFill="1" applyBorder="1" applyAlignment="1">
      <alignment/>
    </xf>
    <xf numFmtId="174" fontId="4" fillId="34" borderId="0" xfId="0" applyNumberFormat="1" applyFont="1" applyFill="1" applyAlignment="1">
      <alignment horizontal="right"/>
    </xf>
    <xf numFmtId="49" fontId="2" fillId="34" borderId="0" xfId="0" applyNumberFormat="1" applyFont="1" applyFill="1" applyAlignment="1">
      <alignment horizontal="center"/>
    </xf>
    <xf numFmtId="49" fontId="4" fillId="34" borderId="0" xfId="0" applyNumberFormat="1" applyFont="1" applyFill="1" applyAlignment="1">
      <alignment horizontal="left"/>
    </xf>
    <xf numFmtId="174" fontId="44" fillId="34" borderId="0" xfId="0" applyNumberFormat="1" applyFont="1" applyFill="1" applyAlignment="1">
      <alignment/>
    </xf>
    <xf numFmtId="174" fontId="4" fillId="34" borderId="0" xfId="0" applyNumberFormat="1" applyFont="1" applyFill="1" applyAlignment="1">
      <alignment/>
    </xf>
    <xf numFmtId="49" fontId="6" fillId="34" borderId="0" xfId="0" applyNumberFormat="1" applyFont="1" applyFill="1" applyAlignment="1">
      <alignment horizontal="center"/>
    </xf>
    <xf numFmtId="0" fontId="6" fillId="34" borderId="11" xfId="0" applyFont="1" applyFill="1" applyBorder="1" applyAlignment="1">
      <alignment/>
    </xf>
    <xf numFmtId="171" fontId="6" fillId="34" borderId="14" xfId="60" applyFont="1" applyFill="1" applyBorder="1" applyAlignment="1">
      <alignment horizontal="center"/>
    </xf>
    <xf numFmtId="0" fontId="6" fillId="34" borderId="14" xfId="0" applyFont="1" applyFill="1" applyBorder="1" applyAlignment="1">
      <alignment/>
    </xf>
    <xf numFmtId="171" fontId="6" fillId="34" borderId="14" xfId="60" applyFont="1" applyFill="1" applyBorder="1" applyAlignment="1">
      <alignment/>
    </xf>
    <xf numFmtId="49" fontId="7" fillId="34" borderId="0" xfId="0" applyNumberFormat="1" applyFont="1" applyFill="1" applyAlignment="1">
      <alignment horizontal="center"/>
    </xf>
    <xf numFmtId="0" fontId="7" fillId="34" borderId="14" xfId="0" applyFont="1" applyFill="1" applyBorder="1" applyAlignment="1">
      <alignment/>
    </xf>
    <xf numFmtId="174" fontId="7" fillId="34" borderId="14" xfId="60" applyNumberFormat="1" applyFont="1" applyFill="1" applyBorder="1" applyAlignment="1">
      <alignment/>
    </xf>
    <xf numFmtId="171" fontId="7" fillId="34" borderId="14" xfId="60" applyFont="1" applyFill="1" applyBorder="1" applyAlignment="1">
      <alignment horizontal="center"/>
    </xf>
    <xf numFmtId="171" fontId="7" fillId="34" borderId="14" xfId="60" applyFont="1" applyFill="1" applyBorder="1" applyAlignment="1">
      <alignment/>
    </xf>
    <xf numFmtId="174" fontId="7" fillId="34" borderId="15" xfId="60" applyNumberFormat="1" applyFont="1" applyFill="1" applyBorder="1" applyAlignment="1">
      <alignment/>
    </xf>
    <xf numFmtId="49" fontId="7" fillId="34" borderId="19" xfId="0" applyNumberFormat="1" applyFont="1" applyFill="1" applyBorder="1" applyAlignment="1">
      <alignment horizontal="center"/>
    </xf>
    <xf numFmtId="0" fontId="7" fillId="34" borderId="17" xfId="0" applyFont="1" applyFill="1" applyBorder="1" applyAlignment="1">
      <alignment/>
    </xf>
    <xf numFmtId="171" fontId="7" fillId="34" borderId="17" xfId="60" applyFont="1" applyFill="1" applyBorder="1" applyAlignment="1">
      <alignment/>
    </xf>
    <xf numFmtId="49" fontId="7" fillId="34" borderId="0" xfId="0" applyNumberFormat="1" applyFont="1" applyFill="1" applyBorder="1" applyAlignment="1">
      <alignment horizontal="center"/>
    </xf>
    <xf numFmtId="0" fontId="7" fillId="34" borderId="0" xfId="0" applyFont="1" applyFill="1" applyBorder="1" applyAlignment="1">
      <alignment/>
    </xf>
    <xf numFmtId="174" fontId="7" fillId="34" borderId="0" xfId="60" applyNumberFormat="1" applyFont="1" applyFill="1" applyBorder="1" applyAlignment="1">
      <alignment/>
    </xf>
    <xf numFmtId="171" fontId="7" fillId="34" borderId="0" xfId="60" applyFont="1" applyFill="1" applyBorder="1" applyAlignment="1">
      <alignment/>
    </xf>
    <xf numFmtId="174" fontId="7" fillId="34" borderId="0" xfId="60" applyNumberFormat="1" applyFont="1" applyFill="1" applyBorder="1" applyAlignment="1">
      <alignment horizontal="right"/>
    </xf>
    <xf numFmtId="0" fontId="7" fillId="34" borderId="15" xfId="0" applyFont="1" applyFill="1" applyBorder="1" applyAlignment="1">
      <alignment/>
    </xf>
    <xf numFmtId="171" fontId="7" fillId="34" borderId="15" xfId="60" applyFont="1" applyFill="1" applyBorder="1" applyAlignment="1">
      <alignment/>
    </xf>
    <xf numFmtId="49" fontId="7" fillId="34" borderId="13" xfId="0" applyNumberFormat="1" applyFont="1" applyFill="1" applyBorder="1" applyAlignment="1">
      <alignment horizontal="center"/>
    </xf>
    <xf numFmtId="0" fontId="7" fillId="34" borderId="0" xfId="0" applyFont="1" applyFill="1" applyAlignment="1">
      <alignment/>
    </xf>
    <xf numFmtId="174" fontId="6" fillId="34" borderId="0" xfId="60" applyNumberFormat="1" applyFont="1" applyFill="1" applyBorder="1" applyAlignment="1">
      <alignment/>
    </xf>
    <xf numFmtId="171" fontId="6" fillId="34" borderId="0" xfId="60" applyFont="1" applyFill="1" applyBorder="1" applyAlignment="1">
      <alignment/>
    </xf>
    <xf numFmtId="0" fontId="6" fillId="34" borderId="15" xfId="0" applyFont="1" applyFill="1" applyBorder="1" applyAlignment="1">
      <alignment/>
    </xf>
    <xf numFmtId="171" fontId="6" fillId="34" borderId="11" xfId="60" applyFont="1" applyFill="1" applyBorder="1" applyAlignment="1">
      <alignment/>
    </xf>
    <xf numFmtId="49" fontId="6" fillId="34" borderId="0" xfId="0" applyNumberFormat="1" applyFont="1" applyFill="1" applyBorder="1" applyAlignment="1">
      <alignment horizontal="center"/>
    </xf>
    <xf numFmtId="49" fontId="6" fillId="34" borderId="13" xfId="0" applyNumberFormat="1" applyFont="1" applyFill="1" applyBorder="1" applyAlignment="1">
      <alignment horizontal="center"/>
    </xf>
    <xf numFmtId="0" fontId="6" fillId="34" borderId="0" xfId="0" applyFont="1" applyFill="1" applyBorder="1" applyAlignment="1">
      <alignment/>
    </xf>
    <xf numFmtId="49" fontId="6" fillId="34" borderId="19" xfId="0" applyNumberFormat="1" applyFont="1" applyFill="1" applyBorder="1" applyAlignment="1">
      <alignment horizontal="center"/>
    </xf>
    <xf numFmtId="0" fontId="6" fillId="34" borderId="17" xfId="0" applyFont="1" applyFill="1" applyBorder="1" applyAlignment="1">
      <alignment/>
    </xf>
    <xf numFmtId="171" fontId="6" fillId="34" borderId="17" xfId="60" applyFont="1" applyFill="1" applyBorder="1" applyAlignment="1">
      <alignment/>
    </xf>
    <xf numFmtId="0" fontId="7" fillId="34" borderId="0" xfId="0" applyFont="1" applyFill="1" applyAlignment="1">
      <alignment horizontal="right"/>
    </xf>
    <xf numFmtId="171" fontId="6" fillId="34" borderId="14" xfId="60" applyNumberFormat="1" applyFont="1" applyFill="1" applyBorder="1" applyAlignment="1">
      <alignment/>
    </xf>
    <xf numFmtId="171" fontId="6" fillId="34" borderId="14" xfId="60" applyNumberFormat="1" applyFont="1" applyFill="1" applyBorder="1" applyAlignment="1">
      <alignment horizontal="center"/>
    </xf>
    <xf numFmtId="171" fontId="6" fillId="34" borderId="14" xfId="60" applyNumberFormat="1" applyFont="1" applyFill="1" applyBorder="1" applyAlignment="1">
      <alignment/>
    </xf>
    <xf numFmtId="171" fontId="7" fillId="34" borderId="14" xfId="60" applyNumberFormat="1" applyFont="1" applyFill="1" applyBorder="1" applyAlignment="1">
      <alignment/>
    </xf>
    <xf numFmtId="171" fontId="7" fillId="34" borderId="17" xfId="60" applyNumberFormat="1" applyFont="1" applyFill="1" applyBorder="1" applyAlignment="1">
      <alignment/>
    </xf>
    <xf numFmtId="171" fontId="6" fillId="34" borderId="15" xfId="60" applyNumberFormat="1" applyFont="1" applyFill="1" applyBorder="1" applyAlignment="1">
      <alignment/>
    </xf>
    <xf numFmtId="171" fontId="7" fillId="34" borderId="15" xfId="60" applyNumberFormat="1" applyFont="1" applyFill="1" applyBorder="1" applyAlignment="1">
      <alignment/>
    </xf>
    <xf numFmtId="0" fontId="2" fillId="0" borderId="0" xfId="0" applyFont="1" applyFill="1" applyAlignment="1">
      <alignment/>
    </xf>
    <xf numFmtId="171" fontId="7" fillId="34" borderId="18" xfId="60" applyNumberFormat="1" applyFont="1" applyFill="1" applyBorder="1" applyAlignment="1">
      <alignment/>
    </xf>
    <xf numFmtId="171" fontId="7" fillId="34" borderId="14" xfId="60" applyNumberFormat="1" applyFont="1" applyFill="1" applyBorder="1" applyAlignment="1">
      <alignment wrapText="1"/>
    </xf>
    <xf numFmtId="171" fontId="7" fillId="34" borderId="13" xfId="60" applyNumberFormat="1" applyFont="1" applyFill="1" applyBorder="1" applyAlignment="1">
      <alignment/>
    </xf>
    <xf numFmtId="171" fontId="7" fillId="34" borderId="0" xfId="60" applyNumberFormat="1" applyFont="1" applyFill="1" applyBorder="1" applyAlignment="1" applyProtection="1">
      <alignment/>
      <protection locked="0"/>
    </xf>
    <xf numFmtId="171" fontId="6" fillId="34" borderId="11" xfId="60" applyNumberFormat="1" applyFont="1" applyFill="1" applyBorder="1" applyAlignment="1">
      <alignment/>
    </xf>
    <xf numFmtId="171" fontId="6" fillId="34" borderId="0" xfId="60" applyNumberFormat="1" applyFont="1" applyFill="1" applyBorder="1" applyAlignment="1">
      <alignment/>
    </xf>
    <xf numFmtId="171" fontId="7" fillId="34" borderId="0" xfId="60" applyNumberFormat="1" applyFont="1" applyFill="1" applyBorder="1" applyAlignment="1">
      <alignment/>
    </xf>
    <xf numFmtId="171" fontId="6" fillId="34" borderId="17" xfId="60" applyNumberFormat="1" applyFont="1" applyFill="1" applyBorder="1" applyAlignment="1">
      <alignment/>
    </xf>
    <xf numFmtId="171" fontId="6" fillId="34" borderId="18" xfId="60" applyNumberFormat="1" applyFont="1" applyFill="1" applyBorder="1" applyAlignment="1">
      <alignment/>
    </xf>
    <xf numFmtId="171" fontId="6" fillId="34" borderId="20" xfId="60" applyNumberFormat="1" applyFont="1" applyFill="1" applyBorder="1" applyAlignment="1">
      <alignment/>
    </xf>
    <xf numFmtId="171" fontId="6" fillId="34" borderId="21" xfId="60" applyNumberFormat="1" applyFont="1" applyFill="1" applyBorder="1" applyAlignment="1">
      <alignment/>
    </xf>
    <xf numFmtId="0" fontId="4" fillId="0" borderId="0" xfId="0" applyFont="1" applyFill="1" applyAlignment="1">
      <alignment horizontal="right"/>
    </xf>
    <xf numFmtId="171" fontId="6" fillId="34" borderId="15" xfId="60" applyNumberFormat="1" applyFont="1" applyFill="1" applyBorder="1" applyAlignment="1">
      <alignment horizontal="center"/>
    </xf>
    <xf numFmtId="0" fontId="45" fillId="0" borderId="0" xfId="0" applyFont="1" applyFill="1" applyBorder="1" applyAlignment="1">
      <alignment horizontal="center"/>
    </xf>
    <xf numFmtId="0" fontId="4" fillId="34" borderId="0" xfId="0" applyFont="1" applyFill="1" applyAlignment="1">
      <alignment horizontal="center"/>
    </xf>
    <xf numFmtId="0" fontId="5" fillId="34" borderId="0" xfId="0" applyFont="1" applyFill="1" applyAlignment="1">
      <alignment horizont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49" fontId="4" fillId="34" borderId="0" xfId="0" applyNumberFormat="1" applyFont="1" applyFill="1" applyAlignment="1">
      <alignment horizontal="center"/>
    </xf>
    <xf numFmtId="49" fontId="6" fillId="34" borderId="22" xfId="0" applyNumberFormat="1" applyFont="1" applyFill="1" applyBorder="1" applyAlignment="1">
      <alignment horizontal="left"/>
    </xf>
    <xf numFmtId="49" fontId="6" fillId="34" borderId="23" xfId="0" applyNumberFormat="1" applyFont="1" applyFill="1" applyBorder="1" applyAlignment="1">
      <alignment horizontal="lef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1143000</xdr:colOff>
      <xdr:row>0</xdr:row>
      <xdr:rowOff>38100</xdr:rowOff>
    </xdr:from>
    <xdr:to>
      <xdr:col>5</xdr:col>
      <xdr:colOff>314325</xdr:colOff>
      <xdr:row>3</xdr:row>
      <xdr:rowOff>38100</xdr:rowOff>
    </xdr:to>
    <xdr:pic>
      <xdr:nvPicPr>
        <xdr:cNvPr id="1" name="Picture 1"/>
        <xdr:cNvPicPr preferRelativeResize="1">
          <a:picLocks noChangeAspect="1"/>
        </xdr:cNvPicPr>
      </xdr:nvPicPr>
      <xdr:blipFill>
        <a:blip r:embed="rId1"/>
        <a:stretch>
          <a:fillRect/>
        </a:stretch>
      </xdr:blipFill>
      <xdr:spPr>
        <a:xfrm>
          <a:off x="8582025" y="38100"/>
          <a:ext cx="695325" cy="600075"/>
        </a:xfrm>
        <a:prstGeom prst="rect">
          <a:avLst/>
        </a:prstGeom>
        <a:noFill/>
        <a:ln w="9525" cmpd="sng">
          <a:noFill/>
        </a:ln>
      </xdr:spPr>
    </xdr:pic>
    <xdr:clientData/>
  </xdr:twoCellAnchor>
  <xdr:twoCellAnchor editAs="oneCell">
    <xdr:from>
      <xdr:col>4</xdr:col>
      <xdr:colOff>1085850</xdr:colOff>
      <xdr:row>127</xdr:row>
      <xdr:rowOff>66675</xdr:rowOff>
    </xdr:from>
    <xdr:to>
      <xdr:col>5</xdr:col>
      <xdr:colOff>257175</xdr:colOff>
      <xdr:row>130</xdr:row>
      <xdr:rowOff>190500</xdr:rowOff>
    </xdr:to>
    <xdr:pic>
      <xdr:nvPicPr>
        <xdr:cNvPr id="2" name="Picture 1"/>
        <xdr:cNvPicPr preferRelativeResize="1">
          <a:picLocks noChangeAspect="1"/>
        </xdr:cNvPicPr>
      </xdr:nvPicPr>
      <xdr:blipFill>
        <a:blip r:embed="rId1"/>
        <a:stretch>
          <a:fillRect/>
        </a:stretch>
      </xdr:blipFill>
      <xdr:spPr>
        <a:xfrm>
          <a:off x="8524875" y="24384000"/>
          <a:ext cx="695325" cy="695325"/>
        </a:xfrm>
        <a:prstGeom prst="rect">
          <a:avLst/>
        </a:prstGeom>
        <a:noFill/>
        <a:ln w="9525" cmpd="sng">
          <a:noFill/>
        </a:ln>
      </xdr:spPr>
    </xdr:pic>
    <xdr:clientData/>
  </xdr:twoCellAnchor>
  <xdr:twoCellAnchor editAs="oneCell">
    <xdr:from>
      <xdr:col>4</xdr:col>
      <xdr:colOff>1066800</xdr:colOff>
      <xdr:row>259</xdr:row>
      <xdr:rowOff>152400</xdr:rowOff>
    </xdr:from>
    <xdr:to>
      <xdr:col>5</xdr:col>
      <xdr:colOff>238125</xdr:colOff>
      <xdr:row>262</xdr:row>
      <xdr:rowOff>190500</xdr:rowOff>
    </xdr:to>
    <xdr:pic>
      <xdr:nvPicPr>
        <xdr:cNvPr id="3" name="Picture 1"/>
        <xdr:cNvPicPr preferRelativeResize="1">
          <a:picLocks noChangeAspect="1"/>
        </xdr:cNvPicPr>
      </xdr:nvPicPr>
      <xdr:blipFill>
        <a:blip r:embed="rId1"/>
        <a:stretch>
          <a:fillRect/>
        </a:stretch>
      </xdr:blipFill>
      <xdr:spPr>
        <a:xfrm>
          <a:off x="8505825" y="49549050"/>
          <a:ext cx="6953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11"/>
  <sheetViews>
    <sheetView tabSelected="1" zoomScale="70" zoomScaleNormal="70" zoomScalePageLayoutView="0" workbookViewId="0" topLeftCell="A84">
      <selection activeCell="I358" sqref="I358"/>
    </sheetView>
  </sheetViews>
  <sheetFormatPr defaultColWidth="9.140625" defaultRowHeight="12.75"/>
  <cols>
    <col min="1" max="1" width="5.8515625" style="1" customWidth="1"/>
    <col min="2" max="2" width="62.28125" style="2" customWidth="1"/>
    <col min="3" max="4" width="21.7109375" style="2" bestFit="1" customWidth="1"/>
    <col min="5" max="5" width="22.8515625" style="2" bestFit="1" customWidth="1"/>
    <col min="6" max="6" width="21.7109375" style="2" bestFit="1" customWidth="1"/>
    <col min="7" max="7" width="11.140625" style="2" customWidth="1"/>
    <col min="8" max="8" width="21.7109375" style="2" bestFit="1" customWidth="1"/>
    <col min="9" max="9" width="22.8515625" style="2" bestFit="1" customWidth="1"/>
    <col min="10" max="10" width="21.7109375" style="2" bestFit="1" customWidth="1"/>
    <col min="11" max="11" width="10.421875" style="2" customWidth="1"/>
    <col min="12" max="12" width="21.28125" style="2" customWidth="1"/>
    <col min="13" max="13" width="9.140625" style="3" customWidth="1"/>
    <col min="14" max="14" width="9.140625" style="2" customWidth="1"/>
    <col min="15" max="15" width="8.421875" style="2" customWidth="1"/>
    <col min="16" max="16384" width="9.140625" style="2" customWidth="1"/>
  </cols>
  <sheetData>
    <row r="1" spans="1:12" ht="15.75">
      <c r="A1" s="24"/>
      <c r="B1" s="26"/>
      <c r="C1" s="26"/>
      <c r="D1" s="26"/>
      <c r="E1" s="26"/>
      <c r="F1" s="26"/>
      <c r="G1" s="26"/>
      <c r="H1" s="26"/>
      <c r="I1" s="26"/>
      <c r="J1" s="26"/>
      <c r="K1" s="26"/>
      <c r="L1" s="26"/>
    </row>
    <row r="2" spans="1:12" ht="15.75">
      <c r="A2" s="24"/>
      <c r="B2" s="26"/>
      <c r="C2" s="26"/>
      <c r="D2" s="26"/>
      <c r="E2" s="26"/>
      <c r="F2" s="26"/>
      <c r="G2" s="26"/>
      <c r="H2" s="26"/>
      <c r="I2" s="26"/>
      <c r="J2" s="26"/>
      <c r="K2" s="26"/>
      <c r="L2" s="26"/>
    </row>
    <row r="3" spans="1:12" ht="15.75">
      <c r="A3" s="24"/>
      <c r="B3" s="26"/>
      <c r="C3" s="26"/>
      <c r="D3" s="26"/>
      <c r="E3" s="26"/>
      <c r="F3" s="26"/>
      <c r="G3" s="26"/>
      <c r="H3" s="26"/>
      <c r="I3" s="26"/>
      <c r="J3" s="26"/>
      <c r="K3" s="26"/>
      <c r="L3" s="26"/>
    </row>
    <row r="4" spans="1:13" s="5" customFormat="1" ht="15.75">
      <c r="A4" s="103" t="s">
        <v>14</v>
      </c>
      <c r="B4" s="103"/>
      <c r="C4" s="103"/>
      <c r="D4" s="103"/>
      <c r="E4" s="103"/>
      <c r="F4" s="103"/>
      <c r="G4" s="103"/>
      <c r="H4" s="103"/>
      <c r="I4" s="103"/>
      <c r="J4" s="103"/>
      <c r="K4" s="103"/>
      <c r="L4" s="103"/>
      <c r="M4" s="4"/>
    </row>
    <row r="5" spans="1:13" s="5" customFormat="1" ht="15.75">
      <c r="A5" s="103" t="s">
        <v>0</v>
      </c>
      <c r="B5" s="103"/>
      <c r="C5" s="103"/>
      <c r="D5" s="103"/>
      <c r="E5" s="103"/>
      <c r="F5" s="103"/>
      <c r="G5" s="103"/>
      <c r="H5" s="103"/>
      <c r="I5" s="103"/>
      <c r="J5" s="103"/>
      <c r="K5" s="103"/>
      <c r="L5" s="103"/>
      <c r="M5" s="4"/>
    </row>
    <row r="6" spans="1:13" s="5" customFormat="1" ht="15.75">
      <c r="A6" s="104" t="s">
        <v>1</v>
      </c>
      <c r="B6" s="104"/>
      <c r="C6" s="104"/>
      <c r="D6" s="104"/>
      <c r="E6" s="104"/>
      <c r="F6" s="104"/>
      <c r="G6" s="104"/>
      <c r="H6" s="104"/>
      <c r="I6" s="104"/>
      <c r="J6" s="104"/>
      <c r="K6" s="104"/>
      <c r="L6" s="104"/>
      <c r="M6" s="6"/>
    </row>
    <row r="7" spans="1:13" s="5" customFormat="1" ht="15.75">
      <c r="A7" s="103" t="s">
        <v>2</v>
      </c>
      <c r="B7" s="103"/>
      <c r="C7" s="103"/>
      <c r="D7" s="103"/>
      <c r="E7" s="103"/>
      <c r="F7" s="103"/>
      <c r="G7" s="103"/>
      <c r="H7" s="103"/>
      <c r="I7" s="103"/>
      <c r="J7" s="103"/>
      <c r="K7" s="103"/>
      <c r="L7" s="103"/>
      <c r="M7" s="4"/>
    </row>
    <row r="8" spans="1:13" s="5" customFormat="1" ht="15.75">
      <c r="A8" s="103" t="s">
        <v>281</v>
      </c>
      <c r="B8" s="103"/>
      <c r="C8" s="103"/>
      <c r="D8" s="103"/>
      <c r="E8" s="103"/>
      <c r="F8" s="103"/>
      <c r="G8" s="103"/>
      <c r="H8" s="103"/>
      <c r="I8" s="103"/>
      <c r="J8" s="103"/>
      <c r="K8" s="103"/>
      <c r="L8" s="103"/>
      <c r="M8" s="4"/>
    </row>
    <row r="9" spans="1:12" ht="15.75">
      <c r="A9" s="24"/>
      <c r="B9" s="24"/>
      <c r="C9" s="40"/>
      <c r="D9" s="40"/>
      <c r="E9" s="40"/>
      <c r="F9" s="40"/>
      <c r="G9" s="40"/>
      <c r="H9" s="40"/>
      <c r="I9" s="40"/>
      <c r="J9" s="40"/>
      <c r="K9" s="24"/>
      <c r="L9" s="100" t="s">
        <v>282</v>
      </c>
    </row>
    <row r="10" spans="1:13" s="7" customFormat="1" ht="15.75">
      <c r="A10" s="27" t="s">
        <v>240</v>
      </c>
      <c r="B10" s="26"/>
      <c r="C10" s="41"/>
      <c r="D10" s="41"/>
      <c r="E10" s="41"/>
      <c r="F10" s="41"/>
      <c r="G10" s="41"/>
      <c r="H10" s="41"/>
      <c r="I10" s="41"/>
      <c r="J10" s="41"/>
      <c r="K10" s="42"/>
      <c r="L10" s="30">
        <v>1</v>
      </c>
      <c r="M10" s="8"/>
    </row>
    <row r="11" spans="1:13" s="7" customFormat="1" ht="15.75">
      <c r="A11" s="11"/>
      <c r="B11" s="12"/>
      <c r="C11" s="13" t="s">
        <v>3</v>
      </c>
      <c r="D11" s="13" t="s">
        <v>3</v>
      </c>
      <c r="E11" s="105" t="s">
        <v>4</v>
      </c>
      <c r="F11" s="106"/>
      <c r="G11" s="107"/>
      <c r="H11" s="13" t="s">
        <v>18</v>
      </c>
      <c r="I11" s="105" t="s">
        <v>5</v>
      </c>
      <c r="J11" s="106"/>
      <c r="K11" s="106"/>
      <c r="L11" s="14" t="s">
        <v>18</v>
      </c>
      <c r="M11" s="8"/>
    </row>
    <row r="12" spans="1:13" s="7" customFormat="1" ht="15.75">
      <c r="A12" s="15" t="s">
        <v>23</v>
      </c>
      <c r="B12" s="16" t="s">
        <v>6</v>
      </c>
      <c r="C12" s="16" t="s">
        <v>7</v>
      </c>
      <c r="D12" s="16" t="s">
        <v>8</v>
      </c>
      <c r="E12" s="16" t="s">
        <v>9</v>
      </c>
      <c r="F12" s="16" t="s">
        <v>10</v>
      </c>
      <c r="G12" s="16" t="s">
        <v>11</v>
      </c>
      <c r="H12" s="17"/>
      <c r="I12" s="16" t="s">
        <v>9</v>
      </c>
      <c r="J12" s="16" t="s">
        <v>10</v>
      </c>
      <c r="K12" s="16" t="s">
        <v>11</v>
      </c>
      <c r="L12" s="18"/>
      <c r="M12" s="8"/>
    </row>
    <row r="13" spans="1:13" s="7" customFormat="1" ht="15.75">
      <c r="A13" s="19"/>
      <c r="B13" s="20"/>
      <c r="C13" s="20"/>
      <c r="D13" s="21" t="s">
        <v>12</v>
      </c>
      <c r="E13" s="21"/>
      <c r="F13" s="21" t="s">
        <v>13</v>
      </c>
      <c r="G13" s="21" t="s">
        <v>17</v>
      </c>
      <c r="H13" s="22" t="s">
        <v>19</v>
      </c>
      <c r="I13" s="21"/>
      <c r="J13" s="21" t="s">
        <v>20</v>
      </c>
      <c r="K13" s="21" t="s">
        <v>21</v>
      </c>
      <c r="L13" s="23" t="s">
        <v>22</v>
      </c>
      <c r="M13" s="8"/>
    </row>
    <row r="14" spans="1:13" s="7" customFormat="1" ht="15">
      <c r="A14" s="47"/>
      <c r="B14" s="48" t="s">
        <v>15</v>
      </c>
      <c r="C14" s="81">
        <f>C15+C25+C28+C34+C53+C72+C83+C88+C100+C106+C122+C142+C150+C154+C160+C164+C175+C184+C201+C205+C217+C228+C232+C243+C248+C254</f>
        <v>77288871205</v>
      </c>
      <c r="D14" s="82">
        <f>D15+D25+D28+D34+D53+D72+D83+D88+D100+D106+D122+D142+D150+D154+D160+D164+D175+D184+D201+D205+D217+D228+D232+D243+D248+D254</f>
        <v>80731504822.04001</v>
      </c>
      <c r="E14" s="82">
        <f>E15+E25+E28+E34+E53+E72+E83+E88+E100+E106+E122+E142+E150+E154+E160+E164+E175+E184+E201+E205+E217+E228+E232+E243+E248+E254</f>
        <v>9735242318.93</v>
      </c>
      <c r="F14" s="82">
        <f>F15+F25+F28+F34+F53+F72+F83+F88+F100+F106+F122+F142+F150+F154+F160+F164+F175+F184+F201+F205+F217+F228+F232+F243+F248+F254</f>
        <v>30788313105.99</v>
      </c>
      <c r="G14" s="49">
        <f aca="true" t="shared" si="0" ref="G14:G46">(F14/$F$258)*100</f>
        <v>92.5414509841628</v>
      </c>
      <c r="H14" s="82">
        <f>D14-F14</f>
        <v>49943191716.05</v>
      </c>
      <c r="I14" s="82">
        <f>I15+I25+I28+I34+I53+I72+I83+I88+I100+I106+I122+I142+I150+I154+I160+I164+I175+I184+I201+I205+I217+I228+I232+I243+I248+I254</f>
        <v>9933068682.160004</v>
      </c>
      <c r="J14" s="82">
        <f>J15+J25+J28+J34+J53+J72+J83+J88+J100+J106+J122+J142+J150+J154+J160+J164+J175+J184+J201+J205+J217+J228+J232+J243+J248+J254</f>
        <v>27635747973.059998</v>
      </c>
      <c r="K14" s="49">
        <f aca="true" t="shared" si="1" ref="K14:K46">(J14/$J$258)*100</f>
        <v>92.56317604606306</v>
      </c>
      <c r="L14" s="101">
        <f>D14-J14</f>
        <v>53095756848.98001</v>
      </c>
      <c r="M14" s="8"/>
    </row>
    <row r="15" spans="1:13" s="7" customFormat="1" ht="15">
      <c r="A15" s="47" t="s">
        <v>25</v>
      </c>
      <c r="B15" s="50" t="s">
        <v>24</v>
      </c>
      <c r="C15" s="83">
        <f>SUM(C16:C24)</f>
        <v>1907223677</v>
      </c>
      <c r="D15" s="83">
        <f>SUM(D16:D24)</f>
        <v>1972725721.45</v>
      </c>
      <c r="E15" s="83">
        <f>SUM(E16:E24)</f>
        <v>120312649.71999998</v>
      </c>
      <c r="F15" s="83">
        <f>SUM(F16:F24)</f>
        <v>685383228.78</v>
      </c>
      <c r="G15" s="49">
        <f t="shared" si="0"/>
        <v>2.060079038860097</v>
      </c>
      <c r="H15" s="83">
        <f>D15-F15</f>
        <v>1287342492.67</v>
      </c>
      <c r="I15" s="83">
        <f>SUM(I16:I24)</f>
        <v>192000447.80999997</v>
      </c>
      <c r="J15" s="83">
        <f>SUM(J16:J24)</f>
        <v>568340101.71</v>
      </c>
      <c r="K15" s="51">
        <f t="shared" si="1"/>
        <v>1.9035983733786783</v>
      </c>
      <c r="L15" s="86">
        <f>D15-J15</f>
        <v>1404385619.74</v>
      </c>
      <c r="M15" s="8"/>
    </row>
    <row r="16" spans="1:13" s="7" customFormat="1" ht="15">
      <c r="A16" s="52" t="s">
        <v>26</v>
      </c>
      <c r="B16" s="53" t="s">
        <v>31</v>
      </c>
      <c r="C16" s="84">
        <v>94380097</v>
      </c>
      <c r="D16" s="84">
        <v>255882141.45</v>
      </c>
      <c r="E16" s="84">
        <f>F16-5721641.67</f>
        <v>300000</v>
      </c>
      <c r="F16" s="84">
        <v>6021641.67</v>
      </c>
      <c r="G16" s="55">
        <f t="shared" si="0"/>
        <v>0.01809944752510918</v>
      </c>
      <c r="H16" s="84">
        <f aca="true" t="shared" si="2" ref="H16:H126">D16-F16</f>
        <v>249860499.78</v>
      </c>
      <c r="I16" s="84">
        <f>J16-831926.44</f>
        <v>2232801.95</v>
      </c>
      <c r="J16" s="84">
        <v>3064728.39</v>
      </c>
      <c r="K16" s="56">
        <f t="shared" si="1"/>
        <v>0.010265001467428224</v>
      </c>
      <c r="L16" s="87">
        <f aca="true" t="shared" si="3" ref="L16:L126">D16-J16</f>
        <v>252817413.06</v>
      </c>
      <c r="M16" s="8"/>
    </row>
    <row r="17" spans="1:13" s="7" customFormat="1" ht="15">
      <c r="A17" s="52" t="s">
        <v>27</v>
      </c>
      <c r="B17" s="53" t="s">
        <v>32</v>
      </c>
      <c r="C17" s="84">
        <v>7200000</v>
      </c>
      <c r="D17" s="84">
        <v>8524000</v>
      </c>
      <c r="E17" s="84">
        <f>F17-3157063.56</f>
        <v>0</v>
      </c>
      <c r="F17" s="84">
        <v>3157063.56</v>
      </c>
      <c r="G17" s="56">
        <f t="shared" si="0"/>
        <v>0.009489290357865877</v>
      </c>
      <c r="H17" s="84">
        <f t="shared" si="2"/>
        <v>5366936.4399999995</v>
      </c>
      <c r="I17" s="84">
        <f>J17-126717.95</f>
        <v>5365.270000000004</v>
      </c>
      <c r="J17" s="84">
        <v>132083.22</v>
      </c>
      <c r="K17" s="56">
        <f t="shared" si="1"/>
        <v>0.00044239954559974724</v>
      </c>
      <c r="L17" s="87">
        <f t="shared" si="3"/>
        <v>8391916.78</v>
      </c>
      <c r="M17" s="8"/>
    </row>
    <row r="18" spans="1:13" s="7" customFormat="1" ht="15">
      <c r="A18" s="52" t="s">
        <v>28</v>
      </c>
      <c r="B18" s="53" t="s">
        <v>33</v>
      </c>
      <c r="C18" s="84">
        <v>1779795357</v>
      </c>
      <c r="D18" s="84">
        <v>1678795357</v>
      </c>
      <c r="E18" s="84">
        <f>F18-550621310.85</f>
        <v>120152152.01999998</v>
      </c>
      <c r="F18" s="84">
        <v>670773462.87</v>
      </c>
      <c r="G18" s="56">
        <f t="shared" si="0"/>
        <v>2.0161659822663167</v>
      </c>
      <c r="H18" s="84">
        <f t="shared" si="2"/>
        <v>1008021894.13</v>
      </c>
      <c r="I18" s="84">
        <f>J18-375132295.51</f>
        <v>189144180.89999998</v>
      </c>
      <c r="J18" s="84">
        <v>564276476.41</v>
      </c>
      <c r="K18" s="56">
        <f t="shared" si="1"/>
        <v>1.8899876665363735</v>
      </c>
      <c r="L18" s="87">
        <f t="shared" si="3"/>
        <v>1114518880.5900002</v>
      </c>
      <c r="M18" s="8"/>
    </row>
    <row r="19" spans="1:13" s="7" customFormat="1" ht="15">
      <c r="A19" s="52" t="s">
        <v>50</v>
      </c>
      <c r="B19" s="53" t="s">
        <v>57</v>
      </c>
      <c r="C19" s="84">
        <v>17840000</v>
      </c>
      <c r="D19" s="84">
        <v>17840000</v>
      </c>
      <c r="E19" s="84">
        <f>F19-5139713.5</f>
        <v>-157142.70999999996</v>
      </c>
      <c r="F19" s="84">
        <v>4982570.79</v>
      </c>
      <c r="G19" s="56">
        <f t="shared" si="0"/>
        <v>0.014976277815240174</v>
      </c>
      <c r="H19" s="84">
        <f>D19-F19</f>
        <v>12857429.21</v>
      </c>
      <c r="I19" s="84">
        <f>J19-192604</f>
        <v>466514.49</v>
      </c>
      <c r="J19" s="84">
        <v>659118.49</v>
      </c>
      <c r="K19" s="56">
        <f t="shared" si="1"/>
        <v>0.0022076515129809187</v>
      </c>
      <c r="L19" s="87">
        <f>D19-J19</f>
        <v>17180881.51</v>
      </c>
      <c r="M19" s="8"/>
    </row>
    <row r="20" spans="1:13" s="7" customFormat="1" ht="15">
      <c r="A20" s="52" t="s">
        <v>29</v>
      </c>
      <c r="B20" s="53" t="s">
        <v>34</v>
      </c>
      <c r="C20" s="84">
        <v>5800000</v>
      </c>
      <c r="D20" s="84">
        <v>4476000</v>
      </c>
      <c r="E20" s="84">
        <f>F20-415119.48</f>
        <v>17640.410000000033</v>
      </c>
      <c r="F20" s="84">
        <v>432759.89</v>
      </c>
      <c r="G20" s="56">
        <f t="shared" si="0"/>
        <v>0.0013007607143164699</v>
      </c>
      <c r="H20" s="84">
        <f t="shared" si="2"/>
        <v>4043240.11</v>
      </c>
      <c r="I20" s="84">
        <f>J20-56110</f>
        <v>150208</v>
      </c>
      <c r="J20" s="84">
        <v>206318</v>
      </c>
      <c r="K20" s="56">
        <f t="shared" si="1"/>
        <v>0.0006910415225268482</v>
      </c>
      <c r="L20" s="87">
        <f t="shared" si="3"/>
        <v>4269682</v>
      </c>
      <c r="M20" s="8"/>
    </row>
    <row r="21" spans="1:13" s="7" customFormat="1" ht="15">
      <c r="A21" s="52" t="s">
        <v>117</v>
      </c>
      <c r="B21" s="53" t="s">
        <v>124</v>
      </c>
      <c r="C21" s="84">
        <v>500000</v>
      </c>
      <c r="D21" s="84">
        <v>500000</v>
      </c>
      <c r="E21" s="84">
        <f>F21-0</f>
        <v>0</v>
      </c>
      <c r="F21" s="84">
        <v>0</v>
      </c>
      <c r="G21" s="56">
        <f t="shared" si="0"/>
        <v>0</v>
      </c>
      <c r="H21" s="84"/>
      <c r="I21" s="84">
        <f>J21-0</f>
        <v>0</v>
      </c>
      <c r="J21" s="84">
        <v>0</v>
      </c>
      <c r="K21" s="56">
        <f t="shared" si="1"/>
        <v>0</v>
      </c>
      <c r="L21" s="87">
        <f t="shared" si="3"/>
        <v>500000</v>
      </c>
      <c r="M21" s="8"/>
    </row>
    <row r="22" spans="1:13" s="7" customFormat="1" ht="15">
      <c r="A22" s="52" t="s">
        <v>53</v>
      </c>
      <c r="B22" s="53" t="s">
        <v>60</v>
      </c>
      <c r="C22" s="84">
        <v>1119223</v>
      </c>
      <c r="D22" s="84">
        <v>1119223</v>
      </c>
      <c r="E22" s="84">
        <v>0</v>
      </c>
      <c r="F22" s="84">
        <v>0</v>
      </c>
      <c r="G22" s="56">
        <f t="shared" si="0"/>
        <v>0</v>
      </c>
      <c r="H22" s="84">
        <f t="shared" si="2"/>
        <v>1119223</v>
      </c>
      <c r="I22" s="84">
        <f>J22-0</f>
        <v>0</v>
      </c>
      <c r="J22" s="84">
        <v>0</v>
      </c>
      <c r="K22" s="56">
        <f t="shared" si="1"/>
        <v>0</v>
      </c>
      <c r="L22" s="87">
        <f t="shared" si="3"/>
        <v>1119223</v>
      </c>
      <c r="M22" s="8"/>
    </row>
    <row r="23" spans="1:13" s="7" customFormat="1" ht="15">
      <c r="A23" s="52" t="s">
        <v>30</v>
      </c>
      <c r="B23" s="53" t="s">
        <v>35</v>
      </c>
      <c r="C23" s="84">
        <v>589000</v>
      </c>
      <c r="D23" s="84">
        <v>589000</v>
      </c>
      <c r="E23" s="84">
        <f>F23-15730</f>
        <v>0</v>
      </c>
      <c r="F23" s="84">
        <v>15730</v>
      </c>
      <c r="G23" s="56">
        <f t="shared" si="0"/>
        <v>4.728018124830855E-05</v>
      </c>
      <c r="H23" s="84">
        <f t="shared" si="2"/>
        <v>573270</v>
      </c>
      <c r="I23" s="84">
        <f>J23-0</f>
        <v>1377.2</v>
      </c>
      <c r="J23" s="84">
        <v>1377.2</v>
      </c>
      <c r="K23" s="56">
        <f t="shared" si="1"/>
        <v>4.612793768958478E-06</v>
      </c>
      <c r="L23" s="87">
        <f t="shared" si="3"/>
        <v>587622.8</v>
      </c>
      <c r="M23" s="8"/>
    </row>
    <row r="24" spans="1:13" s="7" customFormat="1" ht="15">
      <c r="A24" s="52" t="s">
        <v>160</v>
      </c>
      <c r="B24" s="53" t="s">
        <v>161</v>
      </c>
      <c r="C24" s="84">
        <v>0</v>
      </c>
      <c r="D24" s="84">
        <v>5000000</v>
      </c>
      <c r="E24" s="84">
        <f>F24-0</f>
        <v>0</v>
      </c>
      <c r="F24" s="84">
        <v>0</v>
      </c>
      <c r="G24" s="56">
        <f t="shared" si="0"/>
        <v>0</v>
      </c>
      <c r="H24" s="84">
        <f t="shared" si="2"/>
        <v>5000000</v>
      </c>
      <c r="I24" s="84">
        <f>J24-0</f>
        <v>0</v>
      </c>
      <c r="J24" s="84">
        <v>0</v>
      </c>
      <c r="K24" s="56">
        <f t="shared" si="1"/>
        <v>0</v>
      </c>
      <c r="L24" s="87">
        <f t="shared" si="3"/>
        <v>5000000</v>
      </c>
      <c r="M24" s="8"/>
    </row>
    <row r="25" spans="1:13" s="7" customFormat="1" ht="15">
      <c r="A25" s="47" t="s">
        <v>36</v>
      </c>
      <c r="B25" s="50" t="s">
        <v>37</v>
      </c>
      <c r="C25" s="83">
        <f>SUM(C26:C27)</f>
        <v>4734301106</v>
      </c>
      <c r="D25" s="83">
        <f>SUM(D26:D27)</f>
        <v>4734251106</v>
      </c>
      <c r="E25" s="83">
        <f>SUM(E26:E27)</f>
        <v>567363603.95</v>
      </c>
      <c r="F25" s="83">
        <f>SUM(F26:F27)</f>
        <v>2246943010.95</v>
      </c>
      <c r="G25" s="56">
        <f t="shared" si="0"/>
        <v>6.75371092258971</v>
      </c>
      <c r="H25" s="83">
        <f t="shared" si="2"/>
        <v>2487308095.05</v>
      </c>
      <c r="I25" s="83">
        <f>SUM(I26:I27)</f>
        <v>593071005.25</v>
      </c>
      <c r="J25" s="83">
        <f>SUM(J26:J27)</f>
        <v>1768738608.25</v>
      </c>
      <c r="K25" s="51">
        <f t="shared" si="1"/>
        <v>5.924213208721966</v>
      </c>
      <c r="L25" s="86">
        <f t="shared" si="3"/>
        <v>2965512497.75</v>
      </c>
      <c r="M25" s="8"/>
    </row>
    <row r="26" spans="1:13" s="7" customFormat="1" ht="15">
      <c r="A26" s="52" t="s">
        <v>38</v>
      </c>
      <c r="B26" s="53" t="s">
        <v>40</v>
      </c>
      <c r="C26" s="84">
        <v>1757499000</v>
      </c>
      <c r="D26" s="84">
        <v>1757449000</v>
      </c>
      <c r="E26" s="84">
        <f>F26-875772917</f>
        <v>188385314.55999994</v>
      </c>
      <c r="F26" s="84">
        <v>1064158231.56</v>
      </c>
      <c r="G26" s="56">
        <f t="shared" si="0"/>
        <v>3.1985755921828543</v>
      </c>
      <c r="H26" s="84">
        <f t="shared" si="2"/>
        <v>693290768.44</v>
      </c>
      <c r="I26" s="84">
        <f>J26-371864117</f>
        <v>214093991.25</v>
      </c>
      <c r="J26" s="84">
        <v>585958108.25</v>
      </c>
      <c r="K26" s="56">
        <f t="shared" si="1"/>
        <v>1.962608125621767</v>
      </c>
      <c r="L26" s="87">
        <f t="shared" si="3"/>
        <v>1171490891.75</v>
      </c>
      <c r="M26" s="8"/>
    </row>
    <row r="27" spans="1:13" s="7" customFormat="1" ht="15">
      <c r="A27" s="52" t="s">
        <v>28</v>
      </c>
      <c r="B27" s="53" t="s">
        <v>33</v>
      </c>
      <c r="C27" s="84">
        <v>2976802106</v>
      </c>
      <c r="D27" s="84">
        <v>2976802106</v>
      </c>
      <c r="E27" s="84">
        <f>F27-803806490</f>
        <v>378978289.3900001</v>
      </c>
      <c r="F27" s="84">
        <v>1182784779.39</v>
      </c>
      <c r="G27" s="56">
        <f t="shared" si="0"/>
        <v>3.5551353304068565</v>
      </c>
      <c r="H27" s="84">
        <f t="shared" si="2"/>
        <v>1794017326.61</v>
      </c>
      <c r="I27" s="84">
        <f>J27-803803486</f>
        <v>378977014</v>
      </c>
      <c r="J27" s="84">
        <v>1182780500</v>
      </c>
      <c r="K27" s="56">
        <f t="shared" si="1"/>
        <v>3.9616050831001983</v>
      </c>
      <c r="L27" s="87">
        <f t="shared" si="3"/>
        <v>1794021606</v>
      </c>
      <c r="M27" s="8"/>
    </row>
    <row r="28" spans="1:13" s="7" customFormat="1" ht="15">
      <c r="A28" s="47" t="s">
        <v>42</v>
      </c>
      <c r="B28" s="50" t="s">
        <v>43</v>
      </c>
      <c r="C28" s="83">
        <f>SUM(C29:C33)</f>
        <v>2816874709</v>
      </c>
      <c r="D28" s="83">
        <f>SUM(D29:D33)</f>
        <v>3166180134.1600003</v>
      </c>
      <c r="E28" s="83">
        <f>SUM(E29:E33)</f>
        <v>202997820.32999992</v>
      </c>
      <c r="F28" s="83">
        <f>SUM(F29:F33)</f>
        <v>1967514960.3299997</v>
      </c>
      <c r="G28" s="51">
        <f t="shared" si="0"/>
        <v>5.913824789139287</v>
      </c>
      <c r="H28" s="83">
        <f t="shared" si="2"/>
        <v>1198665173.8300006</v>
      </c>
      <c r="I28" s="83">
        <f>SUM(I29:I33)</f>
        <v>347064574.71000004</v>
      </c>
      <c r="J28" s="83">
        <f>SUM(J29:J33)</f>
        <v>1047175577.7100002</v>
      </c>
      <c r="K28" s="51">
        <f t="shared" si="1"/>
        <v>3.5074099476228455</v>
      </c>
      <c r="L28" s="86">
        <f t="shared" si="3"/>
        <v>2119004556.4500003</v>
      </c>
      <c r="M28" s="8"/>
    </row>
    <row r="29" spans="1:13" s="7" customFormat="1" ht="15">
      <c r="A29" s="52" t="s">
        <v>44</v>
      </c>
      <c r="B29" s="53" t="s">
        <v>45</v>
      </c>
      <c r="C29" s="84">
        <v>59276003</v>
      </c>
      <c r="D29" s="84">
        <v>97049333</v>
      </c>
      <c r="E29" s="84">
        <f>F29-20582809</f>
        <v>1250759.1600000001</v>
      </c>
      <c r="F29" s="84">
        <v>21833568.16</v>
      </c>
      <c r="G29" s="56">
        <f t="shared" si="0"/>
        <v>0.06562587793401772</v>
      </c>
      <c r="H29" s="84">
        <f t="shared" si="2"/>
        <v>75215764.84</v>
      </c>
      <c r="I29" s="84">
        <f>J29-2232822</f>
        <v>1684351.46</v>
      </c>
      <c r="J29" s="84">
        <v>3917173.46</v>
      </c>
      <c r="K29" s="56">
        <f t="shared" si="1"/>
        <v>0.013120181039948827</v>
      </c>
      <c r="L29" s="87">
        <f t="shared" si="3"/>
        <v>93132159.54</v>
      </c>
      <c r="M29" s="8"/>
    </row>
    <row r="30" spans="1:13" s="7" customFormat="1" ht="15">
      <c r="A30" s="52" t="s">
        <v>229</v>
      </c>
      <c r="B30" s="53" t="s">
        <v>230</v>
      </c>
      <c r="C30" s="84">
        <v>11547357</v>
      </c>
      <c r="D30" s="84">
        <v>34879909.28</v>
      </c>
      <c r="E30" s="84">
        <f>F30-3391241</f>
        <v>788946.9500000002</v>
      </c>
      <c r="F30" s="84">
        <v>4180187.95</v>
      </c>
      <c r="G30" s="56">
        <f t="shared" si="0"/>
        <v>0.012564529175333463</v>
      </c>
      <c r="H30" s="84">
        <f>D30-F30</f>
        <v>30699721.330000002</v>
      </c>
      <c r="I30" s="84">
        <f>J30-1442373</f>
        <v>1328598.6099999999</v>
      </c>
      <c r="J30" s="84">
        <v>2770971.61</v>
      </c>
      <c r="K30" s="56">
        <f t="shared" si="1"/>
        <v>0.00928109248952138</v>
      </c>
      <c r="L30" s="87">
        <f>D30-J30</f>
        <v>32108937.67</v>
      </c>
      <c r="M30" s="8"/>
    </row>
    <row r="31" spans="1:13" s="7" customFormat="1" ht="15">
      <c r="A31" s="52" t="s">
        <v>28</v>
      </c>
      <c r="B31" s="53" t="s">
        <v>33</v>
      </c>
      <c r="C31" s="84">
        <v>2631046624</v>
      </c>
      <c r="D31" s="84">
        <v>2746196816.44</v>
      </c>
      <c r="E31" s="84">
        <f>F31-1717923099</f>
        <v>167523767.6099999</v>
      </c>
      <c r="F31" s="84">
        <v>1885446866.61</v>
      </c>
      <c r="G31" s="56">
        <f t="shared" si="0"/>
        <v>5.667150005554751</v>
      </c>
      <c r="H31" s="84">
        <f t="shared" si="2"/>
        <v>860749949.8300002</v>
      </c>
      <c r="I31" s="84">
        <f>J31-678128641</f>
        <v>334816725.08000004</v>
      </c>
      <c r="J31" s="84">
        <v>1012945366.08</v>
      </c>
      <c r="K31" s="56">
        <f t="shared" si="1"/>
        <v>3.3927592745782666</v>
      </c>
      <c r="L31" s="87">
        <f>D31-J31</f>
        <v>1733251450.3600001</v>
      </c>
      <c r="M31" s="8"/>
    </row>
    <row r="32" spans="1:13" s="7" customFormat="1" ht="15">
      <c r="A32" s="52" t="s">
        <v>50</v>
      </c>
      <c r="B32" s="53" t="s">
        <v>272</v>
      </c>
      <c r="C32" s="84">
        <v>23409725</v>
      </c>
      <c r="D32" s="84">
        <v>90484301.92</v>
      </c>
      <c r="E32" s="84">
        <f>F32-4663680</f>
        <v>2413309.37</v>
      </c>
      <c r="F32" s="84">
        <v>7076989.37</v>
      </c>
      <c r="G32" s="56">
        <f t="shared" si="0"/>
        <v>0.02127154101118582</v>
      </c>
      <c r="H32" s="84">
        <f t="shared" si="2"/>
        <v>83407312.55</v>
      </c>
      <c r="I32" s="84">
        <f>J32-1293814</f>
        <v>1094019.98</v>
      </c>
      <c r="J32" s="84">
        <v>2387833.98</v>
      </c>
      <c r="K32" s="56">
        <f t="shared" si="1"/>
        <v>0.007997811286851092</v>
      </c>
      <c r="L32" s="87">
        <f>D32-J32</f>
        <v>88096467.94</v>
      </c>
      <c r="M32" s="8"/>
    </row>
    <row r="33" spans="1:13" s="7" customFormat="1" ht="15">
      <c r="A33" s="52" t="s">
        <v>29</v>
      </c>
      <c r="B33" s="53" t="s">
        <v>34</v>
      </c>
      <c r="C33" s="84">
        <v>91595000</v>
      </c>
      <c r="D33" s="84">
        <v>197569773.52</v>
      </c>
      <c r="E33" s="84">
        <f>F33-17956311</f>
        <v>31021037.240000002</v>
      </c>
      <c r="F33" s="84">
        <v>48977348.24</v>
      </c>
      <c r="G33" s="56">
        <f t="shared" si="0"/>
        <v>0.14721283546400038</v>
      </c>
      <c r="H33" s="84">
        <f t="shared" si="2"/>
        <v>148592425.28</v>
      </c>
      <c r="I33" s="84">
        <f>J33-17013353</f>
        <v>8140879.579999998</v>
      </c>
      <c r="J33" s="84">
        <v>25154232.58</v>
      </c>
      <c r="K33" s="56">
        <f t="shared" si="1"/>
        <v>0.08425158822825758</v>
      </c>
      <c r="L33" s="87">
        <f t="shared" si="3"/>
        <v>172415540.94</v>
      </c>
      <c r="M33" s="8"/>
    </row>
    <row r="34" spans="1:13" s="7" customFormat="1" ht="15">
      <c r="A34" s="47" t="s">
        <v>46</v>
      </c>
      <c r="B34" s="50" t="s">
        <v>47</v>
      </c>
      <c r="C34" s="83">
        <f>SUM(C35:C52)</f>
        <v>4178702040</v>
      </c>
      <c r="D34" s="83">
        <f>SUM(D35:D52)</f>
        <v>3924967199.5400004</v>
      </c>
      <c r="E34" s="83">
        <f>SUM(E35:E52)</f>
        <v>640125001.8799999</v>
      </c>
      <c r="F34" s="83">
        <f>SUM(F35:F52)</f>
        <v>1290054177.8799999</v>
      </c>
      <c r="G34" s="51">
        <f t="shared" si="0"/>
        <v>3.877558509237385</v>
      </c>
      <c r="H34" s="83">
        <f t="shared" si="2"/>
        <v>2634913021.660001</v>
      </c>
      <c r="I34" s="83">
        <f>SUM(I35:I52)</f>
        <v>640894945.28</v>
      </c>
      <c r="J34" s="83">
        <f>SUM(J35:J52)</f>
        <v>1266575360.28</v>
      </c>
      <c r="K34" s="51">
        <f t="shared" si="1"/>
        <v>4.2422675935346525</v>
      </c>
      <c r="L34" s="86">
        <f t="shared" si="3"/>
        <v>2658391839.26</v>
      </c>
      <c r="M34" s="8"/>
    </row>
    <row r="35" spans="1:13" s="7" customFormat="1" ht="15">
      <c r="A35" s="52" t="s">
        <v>48</v>
      </c>
      <c r="B35" s="53" t="s">
        <v>55</v>
      </c>
      <c r="C35" s="84">
        <v>300000000</v>
      </c>
      <c r="D35" s="84">
        <v>300000000</v>
      </c>
      <c r="E35" s="84">
        <f aca="true" t="shared" si="4" ref="E35:E52">F35-0</f>
        <v>0</v>
      </c>
      <c r="F35" s="84">
        <v>0</v>
      </c>
      <c r="G35" s="56">
        <f t="shared" si="0"/>
        <v>0</v>
      </c>
      <c r="H35" s="84">
        <f t="shared" si="2"/>
        <v>300000000</v>
      </c>
      <c r="I35" s="84">
        <f>J35-0</f>
        <v>0</v>
      </c>
      <c r="J35" s="84">
        <v>0</v>
      </c>
      <c r="K35" s="56">
        <f t="shared" si="1"/>
        <v>0</v>
      </c>
      <c r="L35" s="87">
        <f t="shared" si="3"/>
        <v>300000000</v>
      </c>
      <c r="M35" s="8"/>
    </row>
    <row r="36" spans="1:13" s="7" customFormat="1" ht="15">
      <c r="A36" s="52" t="s">
        <v>28</v>
      </c>
      <c r="B36" s="53" t="s">
        <v>33</v>
      </c>
      <c r="C36" s="84">
        <v>2611755757</v>
      </c>
      <c r="D36" s="84">
        <v>2323701941.09</v>
      </c>
      <c r="E36" s="84">
        <f>F36-318408996</f>
        <v>484408089.9</v>
      </c>
      <c r="F36" s="84">
        <v>802817085.9</v>
      </c>
      <c r="G36" s="56">
        <f t="shared" si="0"/>
        <v>2.413053867170432</v>
      </c>
      <c r="H36" s="84">
        <f t="shared" si="2"/>
        <v>1520884855.19</v>
      </c>
      <c r="I36" s="84">
        <f>J36-306733099</f>
        <v>484448999.57000005</v>
      </c>
      <c r="J36" s="84">
        <v>791182098.57</v>
      </c>
      <c r="K36" s="56">
        <f t="shared" si="1"/>
        <v>2.6499853720557573</v>
      </c>
      <c r="L36" s="87">
        <f t="shared" si="3"/>
        <v>1532519842.52</v>
      </c>
      <c r="M36" s="8"/>
    </row>
    <row r="37" spans="1:13" s="7" customFormat="1" ht="15">
      <c r="A37" s="52" t="s">
        <v>39</v>
      </c>
      <c r="B37" s="53" t="s">
        <v>41</v>
      </c>
      <c r="C37" s="84">
        <v>120644072</v>
      </c>
      <c r="D37" s="84">
        <v>110875831.3</v>
      </c>
      <c r="E37" s="84">
        <f>F37-16946991</f>
        <v>36961.41000000015</v>
      </c>
      <c r="F37" s="84">
        <v>16983952.41</v>
      </c>
      <c r="G37" s="56">
        <f t="shared" si="0"/>
        <v>0.05104922747981226</v>
      </c>
      <c r="H37" s="84">
        <f t="shared" si="2"/>
        <v>93891878.89</v>
      </c>
      <c r="I37" s="84">
        <f>J37-5274817</f>
        <v>2211226.24</v>
      </c>
      <c r="J37" s="84">
        <v>7486043.24</v>
      </c>
      <c r="K37" s="56">
        <f t="shared" si="1"/>
        <v>0.025073753711607423</v>
      </c>
      <c r="L37" s="87">
        <f t="shared" si="3"/>
        <v>103389788.06</v>
      </c>
      <c r="M37" s="8"/>
    </row>
    <row r="38" spans="1:13" s="7" customFormat="1" ht="15">
      <c r="A38" s="52" t="s">
        <v>232</v>
      </c>
      <c r="B38" s="53" t="s">
        <v>231</v>
      </c>
      <c r="C38" s="84">
        <v>1518625</v>
      </c>
      <c r="D38" s="84">
        <v>1518625</v>
      </c>
      <c r="E38" s="84">
        <f>F38-9157</f>
        <v>0.28000000000065484</v>
      </c>
      <c r="F38" s="84">
        <v>9157.28</v>
      </c>
      <c r="G38" s="56">
        <f t="shared" si="0"/>
        <v>2.752433936055378E-05</v>
      </c>
      <c r="H38" s="84">
        <f t="shared" si="2"/>
        <v>1509467.72</v>
      </c>
      <c r="I38" s="84">
        <f>J38-8921</f>
        <v>236.28000000000065</v>
      </c>
      <c r="J38" s="84">
        <v>9157.28</v>
      </c>
      <c r="K38" s="56">
        <f t="shared" si="1"/>
        <v>3.0671394223502826E-05</v>
      </c>
      <c r="L38" s="87">
        <f t="shared" si="3"/>
        <v>1509467.72</v>
      </c>
      <c r="M38" s="8"/>
    </row>
    <row r="39" spans="1:13" s="7" customFormat="1" ht="15">
      <c r="A39" s="52" t="s">
        <v>49</v>
      </c>
      <c r="B39" s="53" t="s">
        <v>56</v>
      </c>
      <c r="C39" s="84">
        <v>6466977</v>
      </c>
      <c r="D39" s="84">
        <v>6466977</v>
      </c>
      <c r="E39" s="84">
        <f>F39-400660</f>
        <v>0.04999999998835847</v>
      </c>
      <c r="F39" s="84">
        <v>400660.05</v>
      </c>
      <c r="G39" s="56">
        <f t="shared" si="0"/>
        <v>0.001204277163570017</v>
      </c>
      <c r="H39" s="84">
        <f t="shared" si="2"/>
        <v>6066316.95</v>
      </c>
      <c r="I39" s="84">
        <f>J39-166649</f>
        <v>57374.76999999999</v>
      </c>
      <c r="J39" s="84">
        <v>224023.77</v>
      </c>
      <c r="K39" s="56">
        <f t="shared" si="1"/>
        <v>0.0007503452297085298</v>
      </c>
      <c r="L39" s="87">
        <f t="shared" si="3"/>
        <v>6242953.23</v>
      </c>
      <c r="M39" s="8"/>
    </row>
    <row r="40" spans="1:13" s="7" customFormat="1" ht="15">
      <c r="A40" s="52" t="s">
        <v>50</v>
      </c>
      <c r="B40" s="53" t="s">
        <v>57</v>
      </c>
      <c r="C40" s="84">
        <v>15441590</v>
      </c>
      <c r="D40" s="84">
        <v>15391590</v>
      </c>
      <c r="E40" s="84">
        <f t="shared" si="4"/>
        <v>0</v>
      </c>
      <c r="F40" s="84">
        <v>0</v>
      </c>
      <c r="G40" s="56">
        <f t="shared" si="0"/>
        <v>0</v>
      </c>
      <c r="H40" s="84">
        <f t="shared" si="2"/>
        <v>15391590</v>
      </c>
      <c r="I40" s="84">
        <f>J40-0</f>
        <v>0</v>
      </c>
      <c r="J40" s="84">
        <v>0</v>
      </c>
      <c r="K40" s="56">
        <f t="shared" si="1"/>
        <v>0</v>
      </c>
      <c r="L40" s="87">
        <f t="shared" si="3"/>
        <v>15391590</v>
      </c>
      <c r="M40" s="8"/>
    </row>
    <row r="41" spans="1:13" s="7" customFormat="1" ht="15">
      <c r="A41" s="52" t="s">
        <v>51</v>
      </c>
      <c r="B41" s="53" t="s">
        <v>58</v>
      </c>
      <c r="C41" s="84">
        <v>0</v>
      </c>
      <c r="D41" s="84">
        <v>0</v>
      </c>
      <c r="E41" s="84">
        <f t="shared" si="4"/>
        <v>0</v>
      </c>
      <c r="F41" s="84">
        <v>0</v>
      </c>
      <c r="G41" s="56">
        <f t="shared" si="0"/>
        <v>0</v>
      </c>
      <c r="H41" s="84">
        <f t="shared" si="2"/>
        <v>0</v>
      </c>
      <c r="I41" s="84">
        <f>J41-0</f>
        <v>0</v>
      </c>
      <c r="J41" s="84">
        <v>0</v>
      </c>
      <c r="K41" s="56">
        <f t="shared" si="1"/>
        <v>0</v>
      </c>
      <c r="L41" s="87">
        <f t="shared" si="3"/>
        <v>0</v>
      </c>
      <c r="M41" s="8"/>
    </row>
    <row r="42" spans="1:13" s="7" customFormat="1" ht="15">
      <c r="A42" s="52" t="s">
        <v>29</v>
      </c>
      <c r="B42" s="53" t="s">
        <v>34</v>
      </c>
      <c r="C42" s="84">
        <v>2082343</v>
      </c>
      <c r="D42" s="84">
        <v>1982343</v>
      </c>
      <c r="E42" s="84">
        <f t="shared" si="4"/>
        <v>0</v>
      </c>
      <c r="F42" s="84">
        <v>0</v>
      </c>
      <c r="G42" s="56">
        <f t="shared" si="0"/>
        <v>0</v>
      </c>
      <c r="H42" s="84">
        <f t="shared" si="2"/>
        <v>1982343</v>
      </c>
      <c r="I42" s="84">
        <f>J42-0</f>
        <v>0</v>
      </c>
      <c r="J42" s="84">
        <v>0</v>
      </c>
      <c r="K42" s="56">
        <f t="shared" si="1"/>
        <v>0</v>
      </c>
      <c r="L42" s="87">
        <f t="shared" si="3"/>
        <v>1982343</v>
      </c>
      <c r="M42" s="8"/>
    </row>
    <row r="43" spans="1:13" s="7" customFormat="1" ht="15">
      <c r="A43" s="52" t="s">
        <v>233</v>
      </c>
      <c r="B43" s="53" t="s">
        <v>234</v>
      </c>
      <c r="C43" s="84">
        <v>0</v>
      </c>
      <c r="D43" s="84">
        <v>0</v>
      </c>
      <c r="E43" s="84">
        <f t="shared" si="4"/>
        <v>0</v>
      </c>
      <c r="F43" s="84">
        <v>0</v>
      </c>
      <c r="G43" s="56">
        <f t="shared" si="0"/>
        <v>0</v>
      </c>
      <c r="H43" s="84">
        <f t="shared" si="2"/>
        <v>0</v>
      </c>
      <c r="I43" s="84">
        <f>J43-0</f>
        <v>0</v>
      </c>
      <c r="J43" s="84">
        <v>0</v>
      </c>
      <c r="K43" s="56">
        <f t="shared" si="1"/>
        <v>0</v>
      </c>
      <c r="L43" s="87">
        <f t="shared" si="3"/>
        <v>0</v>
      </c>
      <c r="M43" s="8"/>
    </row>
    <row r="44" spans="1:13" s="7" customFormat="1" ht="15">
      <c r="A44" s="52" t="s">
        <v>236</v>
      </c>
      <c r="B44" s="53" t="s">
        <v>235</v>
      </c>
      <c r="C44" s="84">
        <v>3386000</v>
      </c>
      <c r="D44" s="84">
        <v>3386000</v>
      </c>
      <c r="E44" s="84">
        <f>F44-460226</f>
        <v>33063.5</v>
      </c>
      <c r="F44" s="84">
        <v>493289.5</v>
      </c>
      <c r="G44" s="56">
        <f t="shared" si="0"/>
        <v>0.001482696565027813</v>
      </c>
      <c r="H44" s="84">
        <f t="shared" si="2"/>
        <v>2892710.5</v>
      </c>
      <c r="I44" s="84">
        <f>J44-223722</f>
        <v>75452.5</v>
      </c>
      <c r="J44" s="84">
        <v>299174.5</v>
      </c>
      <c r="K44" s="56">
        <f t="shared" si="1"/>
        <v>0.0010020550896247954</v>
      </c>
      <c r="L44" s="87">
        <f t="shared" si="3"/>
        <v>3086825.5</v>
      </c>
      <c r="M44" s="8"/>
    </row>
    <row r="45" spans="1:13" s="7" customFormat="1" ht="15">
      <c r="A45" s="52" t="s">
        <v>66</v>
      </c>
      <c r="B45" s="53" t="s">
        <v>74</v>
      </c>
      <c r="C45" s="84">
        <v>0</v>
      </c>
      <c r="D45" s="84"/>
      <c r="E45" s="84">
        <f t="shared" si="4"/>
        <v>0</v>
      </c>
      <c r="F45" s="84">
        <v>0</v>
      </c>
      <c r="G45" s="56">
        <f t="shared" si="0"/>
        <v>0</v>
      </c>
      <c r="H45" s="84">
        <f t="shared" si="2"/>
        <v>0</v>
      </c>
      <c r="I45" s="84">
        <f>J45-0</f>
        <v>0</v>
      </c>
      <c r="J45" s="84">
        <v>0</v>
      </c>
      <c r="K45" s="56">
        <f t="shared" si="1"/>
        <v>0</v>
      </c>
      <c r="L45" s="87">
        <f t="shared" si="3"/>
        <v>0</v>
      </c>
      <c r="M45" s="8"/>
    </row>
    <row r="46" spans="1:13" s="7" customFormat="1" ht="15">
      <c r="A46" s="52" t="s">
        <v>53</v>
      </c>
      <c r="B46" s="53" t="s">
        <v>60</v>
      </c>
      <c r="C46" s="84">
        <v>16237788</v>
      </c>
      <c r="D46" s="84">
        <v>16237788</v>
      </c>
      <c r="E46" s="84">
        <f t="shared" si="4"/>
        <v>2263911.85</v>
      </c>
      <c r="F46" s="84">
        <v>2263911.85</v>
      </c>
      <c r="G46" s="56">
        <f t="shared" si="0"/>
        <v>0.006804714723343517</v>
      </c>
      <c r="H46" s="84">
        <f t="shared" si="2"/>
        <v>13973876.15</v>
      </c>
      <c r="I46" s="84">
        <f>J46-0</f>
        <v>711556.68</v>
      </c>
      <c r="J46" s="84">
        <v>711556.68</v>
      </c>
      <c r="K46" s="56">
        <f t="shared" si="1"/>
        <v>0.002383287989954097</v>
      </c>
      <c r="L46" s="87">
        <f t="shared" si="3"/>
        <v>15526231.32</v>
      </c>
      <c r="M46" s="8"/>
    </row>
    <row r="47" spans="1:13" s="7" customFormat="1" ht="15">
      <c r="A47" s="52" t="s">
        <v>135</v>
      </c>
      <c r="B47" s="53" t="s">
        <v>136</v>
      </c>
      <c r="C47" s="84">
        <v>5000</v>
      </c>
      <c r="D47" s="84">
        <v>5000</v>
      </c>
      <c r="E47" s="84">
        <f t="shared" si="4"/>
        <v>0</v>
      </c>
      <c r="F47" s="84">
        <v>0</v>
      </c>
      <c r="G47" s="56">
        <f aca="true" t="shared" si="5" ref="G47:G78">(F47/$F$258)*100</f>
        <v>0</v>
      </c>
      <c r="H47" s="84">
        <f t="shared" si="2"/>
        <v>5000</v>
      </c>
      <c r="I47" s="84">
        <f>J47-0</f>
        <v>0</v>
      </c>
      <c r="J47" s="84">
        <v>0</v>
      </c>
      <c r="K47" s="56">
        <f aca="true" t="shared" si="6" ref="K47:K71">(J47/$J$258)*100</f>
        <v>0</v>
      </c>
      <c r="L47" s="87">
        <f>D47-J47</f>
        <v>5000</v>
      </c>
      <c r="M47" s="8"/>
    </row>
    <row r="48" spans="1:13" s="7" customFormat="1" ht="15">
      <c r="A48" s="52" t="s">
        <v>97</v>
      </c>
      <c r="B48" s="53" t="s">
        <v>237</v>
      </c>
      <c r="C48" s="84">
        <v>17742110</v>
      </c>
      <c r="D48" s="84">
        <v>18024110</v>
      </c>
      <c r="E48" s="84">
        <f>F48-917046</f>
        <v>372384.28</v>
      </c>
      <c r="F48" s="84">
        <v>1289430.28</v>
      </c>
      <c r="G48" s="56">
        <f t="shared" si="5"/>
        <v>0.003875683238744898</v>
      </c>
      <c r="H48" s="84">
        <f t="shared" si="2"/>
        <v>16734679.72</v>
      </c>
      <c r="I48" s="84">
        <f>J48-886371</f>
        <v>379981.74</v>
      </c>
      <c r="J48" s="84">
        <v>1266352.74</v>
      </c>
      <c r="K48" s="56">
        <f t="shared" si="6"/>
        <v>0.004241521949154441</v>
      </c>
      <c r="L48" s="87">
        <f>D48-J48</f>
        <v>16757757.26</v>
      </c>
      <c r="M48" s="8"/>
    </row>
    <row r="49" spans="1:13" s="7" customFormat="1" ht="15">
      <c r="A49" s="52" t="s">
        <v>191</v>
      </c>
      <c r="B49" s="53" t="s">
        <v>192</v>
      </c>
      <c r="C49" s="84">
        <v>0</v>
      </c>
      <c r="D49" s="84"/>
      <c r="E49" s="84">
        <f t="shared" si="4"/>
        <v>0</v>
      </c>
      <c r="F49" s="84">
        <v>0</v>
      </c>
      <c r="G49" s="56">
        <f t="shared" si="5"/>
        <v>0</v>
      </c>
      <c r="H49" s="84">
        <f t="shared" si="2"/>
        <v>0</v>
      </c>
      <c r="I49" s="84">
        <f>J49-0</f>
        <v>0</v>
      </c>
      <c r="J49" s="84">
        <v>0</v>
      </c>
      <c r="K49" s="56">
        <f t="shared" si="6"/>
        <v>0</v>
      </c>
      <c r="L49" s="87">
        <f>D49-J49</f>
        <v>0</v>
      </c>
      <c r="M49" s="8"/>
    </row>
    <row r="50" spans="1:13" s="7" customFormat="1" ht="15">
      <c r="A50" s="52" t="s">
        <v>54</v>
      </c>
      <c r="B50" s="53" t="s">
        <v>61</v>
      </c>
      <c r="C50" s="84">
        <v>1038369294</v>
      </c>
      <c r="D50" s="84">
        <v>1028378866.15</v>
      </c>
      <c r="E50" s="84">
        <f>F50-306285461</f>
        <v>152907655.58999997</v>
      </c>
      <c r="F50" s="84">
        <v>459193116.59</v>
      </c>
      <c r="G50" s="56">
        <f t="shared" si="5"/>
        <v>1.3802119377209714</v>
      </c>
      <c r="H50" s="84">
        <f t="shared" si="2"/>
        <v>569185749.56</v>
      </c>
      <c r="I50" s="84">
        <f>J50-306285461</f>
        <v>152907655.58999997</v>
      </c>
      <c r="J50" s="84">
        <v>459193116.59</v>
      </c>
      <c r="K50" s="56">
        <f t="shared" si="6"/>
        <v>1.53802145436754</v>
      </c>
      <c r="L50" s="87">
        <f>D50-J50</f>
        <v>569185749.56</v>
      </c>
      <c r="M50" s="8"/>
    </row>
    <row r="51" spans="1:13" s="7" customFormat="1" ht="15">
      <c r="A51" s="52" t="s">
        <v>185</v>
      </c>
      <c r="B51" s="53" t="s">
        <v>186</v>
      </c>
      <c r="C51" s="84">
        <v>45052484</v>
      </c>
      <c r="D51" s="84">
        <v>98998128</v>
      </c>
      <c r="E51" s="84">
        <f>F51-6500639</f>
        <v>102935.01999999955</v>
      </c>
      <c r="F51" s="84">
        <v>6603574.02</v>
      </c>
      <c r="G51" s="56">
        <f t="shared" si="5"/>
        <v>0.019848580836123425</v>
      </c>
      <c r="H51" s="84">
        <f t="shared" si="2"/>
        <v>92394553.98</v>
      </c>
      <c r="I51" s="84">
        <f>J51-6101375</f>
        <v>102461.91000000015</v>
      </c>
      <c r="J51" s="84">
        <v>6203836.91</v>
      </c>
      <c r="K51" s="56">
        <f t="shared" si="6"/>
        <v>0.020779131747082936</v>
      </c>
      <c r="L51" s="87">
        <f t="shared" si="3"/>
        <v>92794291.09</v>
      </c>
      <c r="M51" s="8"/>
    </row>
    <row r="52" spans="1:13" s="7" customFormat="1" ht="15">
      <c r="A52" s="52" t="s">
        <v>209</v>
      </c>
      <c r="B52" s="53" t="s">
        <v>210</v>
      </c>
      <c r="C52" s="84">
        <v>0</v>
      </c>
      <c r="D52" s="84">
        <v>0</v>
      </c>
      <c r="E52" s="84">
        <f t="shared" si="4"/>
        <v>0</v>
      </c>
      <c r="F52" s="84">
        <v>0</v>
      </c>
      <c r="G52" s="56">
        <f t="shared" si="5"/>
        <v>0</v>
      </c>
      <c r="H52" s="84">
        <f>D52-F52</f>
        <v>0</v>
      </c>
      <c r="I52" s="84">
        <f>J52-0</f>
        <v>0</v>
      </c>
      <c r="J52" s="84">
        <v>0</v>
      </c>
      <c r="K52" s="56">
        <f t="shared" si="6"/>
        <v>0</v>
      </c>
      <c r="L52" s="87">
        <f>D52-J52</f>
        <v>0</v>
      </c>
      <c r="M52" s="8"/>
    </row>
    <row r="53" spans="1:13" s="7" customFormat="1" ht="15">
      <c r="A53" s="47" t="s">
        <v>63</v>
      </c>
      <c r="B53" s="50" t="s">
        <v>62</v>
      </c>
      <c r="C53" s="83">
        <f>SUM(C54:C71)</f>
        <v>11036127000</v>
      </c>
      <c r="D53" s="83">
        <f>SUM(D54:D71)</f>
        <v>12661071953.52</v>
      </c>
      <c r="E53" s="83">
        <f>SUM(E54:E71)</f>
        <v>1617826191.6100001</v>
      </c>
      <c r="F53" s="83">
        <f>SUM(F54:F71)</f>
        <v>4575524304.610002</v>
      </c>
      <c r="G53" s="51">
        <f t="shared" si="5"/>
        <v>13.752804731595795</v>
      </c>
      <c r="H53" s="83">
        <f t="shared" si="2"/>
        <v>8085547648.909999</v>
      </c>
      <c r="I53" s="83">
        <f>SUM(I54:I71)</f>
        <v>1565674981.3700001</v>
      </c>
      <c r="J53" s="83">
        <f>SUM(J54:J71)</f>
        <v>4336563832.370001</v>
      </c>
      <c r="K53" s="51">
        <f t="shared" si="6"/>
        <v>14.524887180254895</v>
      </c>
      <c r="L53" s="86">
        <f t="shared" si="3"/>
        <v>8324508121.15</v>
      </c>
      <c r="M53" s="8"/>
    </row>
    <row r="54" spans="1:13" s="7" customFormat="1" ht="15">
      <c r="A54" s="52" t="s">
        <v>28</v>
      </c>
      <c r="B54" s="53" t="s">
        <v>33</v>
      </c>
      <c r="C54" s="84">
        <v>9488871851</v>
      </c>
      <c r="D54" s="84">
        <v>11312158893.21</v>
      </c>
      <c r="E54" s="84">
        <f>F54-2616204990</f>
        <v>1454310756.04</v>
      </c>
      <c r="F54" s="84">
        <v>4070515746.04</v>
      </c>
      <c r="G54" s="56">
        <f t="shared" si="5"/>
        <v>12.234883804632238</v>
      </c>
      <c r="H54" s="84">
        <f t="shared" si="2"/>
        <v>7241643147.169999</v>
      </c>
      <c r="I54" s="84">
        <f>J54-2560138888</f>
        <v>1433787163.8000002</v>
      </c>
      <c r="J54" s="84">
        <v>3993926051.8</v>
      </c>
      <c r="K54" s="56">
        <f t="shared" si="6"/>
        <v>13.377256175881483</v>
      </c>
      <c r="L54" s="87">
        <f t="shared" si="3"/>
        <v>7318232841.409999</v>
      </c>
      <c r="M54" s="8"/>
    </row>
    <row r="55" spans="1:13" s="7" customFormat="1" ht="15">
      <c r="A55" s="52" t="s">
        <v>49</v>
      </c>
      <c r="B55" s="53" t="s">
        <v>56</v>
      </c>
      <c r="C55" s="84">
        <v>252209609</v>
      </c>
      <c r="D55" s="84">
        <v>225707617.09</v>
      </c>
      <c r="E55" s="84">
        <f>F55-36368337</f>
        <v>29439601.689999998</v>
      </c>
      <c r="F55" s="84">
        <v>65807938.69</v>
      </c>
      <c r="G55" s="56">
        <f t="shared" si="5"/>
        <v>0.19780109782840286</v>
      </c>
      <c r="H55" s="84">
        <f t="shared" si="2"/>
        <v>159899678.4</v>
      </c>
      <c r="I55" s="84">
        <f>J55-33138866</f>
        <v>29774302.64</v>
      </c>
      <c r="J55" s="84">
        <v>62913168.64</v>
      </c>
      <c r="K55" s="56">
        <f t="shared" si="6"/>
        <v>0.21072137110661193</v>
      </c>
      <c r="L55" s="87">
        <f t="shared" si="3"/>
        <v>162794448.45</v>
      </c>
      <c r="M55" s="8"/>
    </row>
    <row r="56" spans="1:13" s="7" customFormat="1" ht="15">
      <c r="A56" s="52" t="s">
        <v>50</v>
      </c>
      <c r="B56" s="53" t="s">
        <v>57</v>
      </c>
      <c r="C56" s="84">
        <v>68675307</v>
      </c>
      <c r="D56" s="84">
        <v>68061084</v>
      </c>
      <c r="E56" s="84">
        <f>F56-13615366</f>
        <v>11471540.920000002</v>
      </c>
      <c r="F56" s="84">
        <v>25086906.92</v>
      </c>
      <c r="G56" s="56">
        <f t="shared" si="5"/>
        <v>0.07540454584469461</v>
      </c>
      <c r="H56" s="84">
        <f>D56-F56</f>
        <v>42974177.08</v>
      </c>
      <c r="I56" s="84">
        <f>J56-6893677</f>
        <v>8322865</v>
      </c>
      <c r="J56" s="84">
        <v>15216542</v>
      </c>
      <c r="K56" s="56">
        <f t="shared" si="6"/>
        <v>0.05096628675769313</v>
      </c>
      <c r="L56" s="87">
        <f t="shared" si="3"/>
        <v>52844542</v>
      </c>
      <c r="M56" s="8"/>
    </row>
    <row r="57" spans="1:13" s="7" customFormat="1" ht="15">
      <c r="A57" s="52" t="s">
        <v>29</v>
      </c>
      <c r="B57" s="53" t="s">
        <v>34</v>
      </c>
      <c r="C57" s="84">
        <v>8611360</v>
      </c>
      <c r="D57" s="84">
        <v>8510932</v>
      </c>
      <c r="E57" s="84">
        <f>F57-0</f>
        <v>0</v>
      </c>
      <c r="F57" s="84">
        <v>0</v>
      </c>
      <c r="G57" s="56">
        <f t="shared" si="5"/>
        <v>0</v>
      </c>
      <c r="H57" s="84">
        <f t="shared" si="2"/>
        <v>8510932</v>
      </c>
      <c r="I57" s="84">
        <f>J57-0</f>
        <v>0</v>
      </c>
      <c r="J57" s="84">
        <v>0</v>
      </c>
      <c r="K57" s="56">
        <f t="shared" si="6"/>
        <v>0</v>
      </c>
      <c r="L57" s="87">
        <f t="shared" si="3"/>
        <v>8510932</v>
      </c>
      <c r="M57" s="8"/>
    </row>
    <row r="58" spans="1:13" s="7" customFormat="1" ht="15">
      <c r="A58" s="52" t="s">
        <v>64</v>
      </c>
      <c r="B58" s="53" t="s">
        <v>72</v>
      </c>
      <c r="C58" s="84">
        <v>407673716</v>
      </c>
      <c r="D58" s="84">
        <v>401888518.43</v>
      </c>
      <c r="E58" s="84">
        <f>F58-137690297</f>
        <v>40931636.28999999</v>
      </c>
      <c r="F58" s="84">
        <v>178621933.29</v>
      </c>
      <c r="G58" s="56">
        <f t="shared" si="5"/>
        <v>0.5368898525667183</v>
      </c>
      <c r="H58" s="84">
        <f t="shared" si="2"/>
        <v>223266585.14000002</v>
      </c>
      <c r="I58" s="84">
        <f>J58-66847522</f>
        <v>46312812.260000005</v>
      </c>
      <c r="J58" s="84">
        <v>113160334.26</v>
      </c>
      <c r="K58" s="56">
        <f t="shared" si="6"/>
        <v>0.3790192308798916</v>
      </c>
      <c r="L58" s="87">
        <f t="shared" si="3"/>
        <v>288728184.17</v>
      </c>
      <c r="M58" s="8"/>
    </row>
    <row r="59" spans="1:13" s="7" customFormat="1" ht="15">
      <c r="A59" s="52" t="s">
        <v>65</v>
      </c>
      <c r="B59" s="53" t="s">
        <v>73</v>
      </c>
      <c r="C59" s="84">
        <v>95446747</v>
      </c>
      <c r="D59" s="84">
        <v>105106913</v>
      </c>
      <c r="E59" s="84">
        <f>F59-29689398</f>
        <v>33392045.130000003</v>
      </c>
      <c r="F59" s="84">
        <v>63081443.13</v>
      </c>
      <c r="G59" s="56">
        <f t="shared" si="5"/>
        <v>0.18960597994858666</v>
      </c>
      <c r="H59" s="84">
        <f t="shared" si="2"/>
        <v>42025469.87</v>
      </c>
      <c r="I59" s="84">
        <f>J59-19804604</f>
        <v>16075774.770000003</v>
      </c>
      <c r="J59" s="84">
        <v>35880378.77</v>
      </c>
      <c r="K59" s="56">
        <f t="shared" si="6"/>
        <v>0.12017774296988533</v>
      </c>
      <c r="L59" s="87">
        <f t="shared" si="3"/>
        <v>69226534.22999999</v>
      </c>
      <c r="M59" s="8"/>
    </row>
    <row r="60" spans="1:13" s="7" customFormat="1" ht="15">
      <c r="A60" s="52" t="s">
        <v>66</v>
      </c>
      <c r="B60" s="53" t="s">
        <v>74</v>
      </c>
      <c r="C60" s="84">
        <v>0</v>
      </c>
      <c r="D60" s="84">
        <v>0</v>
      </c>
      <c r="E60" s="84">
        <f>F60-0</f>
        <v>0</v>
      </c>
      <c r="F60" s="84">
        <v>0</v>
      </c>
      <c r="G60" s="56">
        <f t="shared" si="5"/>
        <v>0</v>
      </c>
      <c r="H60" s="84">
        <f t="shared" si="2"/>
        <v>0</v>
      </c>
      <c r="I60" s="84">
        <f>J60-0</f>
        <v>0</v>
      </c>
      <c r="J60" s="84">
        <v>0</v>
      </c>
      <c r="K60" s="56">
        <f t="shared" si="6"/>
        <v>0</v>
      </c>
      <c r="L60" s="87">
        <f t="shared" si="3"/>
        <v>0</v>
      </c>
      <c r="M60" s="8"/>
    </row>
    <row r="61" spans="1:13" s="7" customFormat="1" ht="15">
      <c r="A61" s="52" t="s">
        <v>82</v>
      </c>
      <c r="B61" s="53" t="s">
        <v>84</v>
      </c>
      <c r="C61" s="84">
        <v>30150000</v>
      </c>
      <c r="D61" s="84">
        <v>15150000</v>
      </c>
      <c r="E61" s="84">
        <f>F61-0</f>
        <v>8486105.54</v>
      </c>
      <c r="F61" s="84">
        <v>8486105.54</v>
      </c>
      <c r="G61" s="56">
        <f t="shared" si="5"/>
        <v>0.025506968087951387</v>
      </c>
      <c r="H61" s="84">
        <f t="shared" si="2"/>
        <v>6663894.460000001</v>
      </c>
      <c r="I61" s="84">
        <f>J61-0</f>
        <v>8486105.54</v>
      </c>
      <c r="J61" s="84">
        <v>8486105.54</v>
      </c>
      <c r="K61" s="56">
        <f t="shared" si="6"/>
        <v>0.028423362443825165</v>
      </c>
      <c r="L61" s="87">
        <f t="shared" si="3"/>
        <v>6663894.460000001</v>
      </c>
      <c r="M61" s="8"/>
    </row>
    <row r="62" spans="1:13" s="7" customFormat="1" ht="15">
      <c r="A62" s="52" t="s">
        <v>67</v>
      </c>
      <c r="B62" s="53" t="s">
        <v>75</v>
      </c>
      <c r="C62" s="84">
        <v>169513800</v>
      </c>
      <c r="D62" s="84">
        <v>169031420.84</v>
      </c>
      <c r="E62" s="84">
        <f>F62-36510818</f>
        <v>23370015.35</v>
      </c>
      <c r="F62" s="84">
        <v>59880833.35</v>
      </c>
      <c r="G62" s="56">
        <f t="shared" si="5"/>
        <v>0.17998580127703492</v>
      </c>
      <c r="H62" s="84">
        <f t="shared" si="2"/>
        <v>109150587.49000001</v>
      </c>
      <c r="I62" s="84">
        <f>J62-7099767</f>
        <v>11366435.32</v>
      </c>
      <c r="J62" s="84">
        <v>18466202.32</v>
      </c>
      <c r="K62" s="56">
        <f t="shared" si="6"/>
        <v>0.0618506992434088</v>
      </c>
      <c r="L62" s="87">
        <f t="shared" si="3"/>
        <v>150565218.52</v>
      </c>
      <c r="M62" s="8"/>
    </row>
    <row r="63" spans="1:13" s="7" customFormat="1" ht="15">
      <c r="A63" s="52" t="s">
        <v>68</v>
      </c>
      <c r="B63" s="53" t="s">
        <v>76</v>
      </c>
      <c r="C63" s="84">
        <v>176019895</v>
      </c>
      <c r="D63" s="84">
        <v>34332926.16</v>
      </c>
      <c r="E63" s="84">
        <f>F63-33513031</f>
        <v>0.1600000001490116</v>
      </c>
      <c r="F63" s="84">
        <v>33513031.16</v>
      </c>
      <c r="G63" s="56">
        <f t="shared" si="5"/>
        <v>0.10073122615543625</v>
      </c>
      <c r="H63" s="84">
        <f t="shared" si="2"/>
        <v>819894.9999999963</v>
      </c>
      <c r="I63" s="84">
        <f>J63-33513031</f>
        <v>0.1600000001490116</v>
      </c>
      <c r="J63" s="84">
        <v>33513031.16</v>
      </c>
      <c r="K63" s="56">
        <f t="shared" si="6"/>
        <v>0.11224854873203552</v>
      </c>
      <c r="L63" s="87">
        <f t="shared" si="3"/>
        <v>819894.9999999963</v>
      </c>
      <c r="M63" s="8"/>
    </row>
    <row r="64" spans="1:13" s="7" customFormat="1" ht="15">
      <c r="A64" s="52" t="s">
        <v>238</v>
      </c>
      <c r="B64" s="53" t="s">
        <v>239</v>
      </c>
      <c r="C64" s="84">
        <v>42739047</v>
      </c>
      <c r="D64" s="84">
        <v>42060260.59</v>
      </c>
      <c r="E64" s="84">
        <f>F64-4305291</f>
        <v>2034208.0199999996</v>
      </c>
      <c r="F64" s="84">
        <v>6339499.02</v>
      </c>
      <c r="G64" s="56">
        <f t="shared" si="5"/>
        <v>0.01905484187470276</v>
      </c>
      <c r="H64" s="84">
        <f>D64-F64</f>
        <v>35720761.57000001</v>
      </c>
      <c r="I64" s="84">
        <f>J64-3346215</f>
        <v>2548321.17</v>
      </c>
      <c r="J64" s="84">
        <v>5894536.17</v>
      </c>
      <c r="K64" s="56">
        <f t="shared" si="6"/>
        <v>0.01974315982854805</v>
      </c>
      <c r="L64" s="87">
        <f t="shared" si="3"/>
        <v>36165724.42</v>
      </c>
      <c r="M64" s="8"/>
    </row>
    <row r="65" spans="1:13" s="7" customFormat="1" ht="15">
      <c r="A65" s="52" t="s">
        <v>106</v>
      </c>
      <c r="B65" s="53" t="s">
        <v>108</v>
      </c>
      <c r="C65" s="84">
        <v>3000211</v>
      </c>
      <c r="D65" s="84">
        <v>3000211</v>
      </c>
      <c r="E65" s="84">
        <f>F65-0</f>
        <v>0</v>
      </c>
      <c r="F65" s="84">
        <v>0</v>
      </c>
      <c r="G65" s="56">
        <f t="shared" si="5"/>
        <v>0</v>
      </c>
      <c r="H65" s="84">
        <f>D65-F65</f>
        <v>3000211</v>
      </c>
      <c r="I65" s="84">
        <f>J65-0</f>
        <v>0</v>
      </c>
      <c r="J65" s="84">
        <v>0</v>
      </c>
      <c r="K65" s="56">
        <f t="shared" si="6"/>
        <v>0</v>
      </c>
      <c r="L65" s="87">
        <f t="shared" si="3"/>
        <v>3000211</v>
      </c>
      <c r="M65" s="8"/>
    </row>
    <row r="66" spans="1:13" s="7" customFormat="1" ht="15">
      <c r="A66" s="52" t="s">
        <v>115</v>
      </c>
      <c r="B66" s="53" t="s">
        <v>122</v>
      </c>
      <c r="C66" s="84">
        <v>5000</v>
      </c>
      <c r="D66" s="84">
        <v>0</v>
      </c>
      <c r="E66" s="84">
        <f>F66-0</f>
        <v>0</v>
      </c>
      <c r="F66" s="84">
        <v>0</v>
      </c>
      <c r="G66" s="56">
        <f t="shared" si="5"/>
        <v>0</v>
      </c>
      <c r="H66" s="84">
        <f>D66-F66</f>
        <v>0</v>
      </c>
      <c r="I66" s="84">
        <f>J66-0</f>
        <v>0</v>
      </c>
      <c r="J66" s="84">
        <v>0</v>
      </c>
      <c r="K66" s="56">
        <f t="shared" si="6"/>
        <v>0</v>
      </c>
      <c r="L66" s="87">
        <f t="shared" si="3"/>
        <v>0</v>
      </c>
      <c r="M66" s="8"/>
    </row>
    <row r="67" spans="1:13" s="7" customFormat="1" ht="15">
      <c r="A67" s="52" t="s">
        <v>69</v>
      </c>
      <c r="B67" s="53" t="s">
        <v>77</v>
      </c>
      <c r="C67" s="84">
        <v>87556871</v>
      </c>
      <c r="D67" s="84">
        <v>81497804.36</v>
      </c>
      <c r="E67" s="84">
        <f>F67-11592465</f>
        <v>785316.8300000001</v>
      </c>
      <c r="F67" s="84">
        <v>12377781.83</v>
      </c>
      <c r="G67" s="56">
        <f t="shared" si="5"/>
        <v>0.037204308224692964</v>
      </c>
      <c r="H67" s="84">
        <f t="shared" si="2"/>
        <v>69120022.53</v>
      </c>
      <c r="I67" s="84">
        <f>J67-5531207</f>
        <v>392156.4400000004</v>
      </c>
      <c r="J67" s="84">
        <v>5923363.44</v>
      </c>
      <c r="K67" s="56">
        <f t="shared" si="6"/>
        <v>0.019839713888548112</v>
      </c>
      <c r="L67" s="87">
        <f t="shared" si="3"/>
        <v>75574440.92</v>
      </c>
      <c r="M67" s="8"/>
    </row>
    <row r="68" spans="1:13" s="7" customFormat="1" ht="15">
      <c r="A68" s="52" t="s">
        <v>53</v>
      </c>
      <c r="B68" s="53" t="s">
        <v>60</v>
      </c>
      <c r="C68" s="84">
        <v>176664207</v>
      </c>
      <c r="D68" s="84">
        <v>176664207</v>
      </c>
      <c r="E68" s="84">
        <f>F68-30350001</f>
        <v>13054052.689999998</v>
      </c>
      <c r="F68" s="84">
        <v>43404053.69</v>
      </c>
      <c r="G68" s="56">
        <f t="shared" si="5"/>
        <v>0.13046099970594505</v>
      </c>
      <c r="H68" s="84">
        <f t="shared" si="2"/>
        <v>133260153.31</v>
      </c>
      <c r="I68" s="84">
        <f>J68-29986043</f>
        <v>7082086.329999998</v>
      </c>
      <c r="J68" s="84">
        <v>37068129.33</v>
      </c>
      <c r="K68" s="56">
        <f t="shared" si="6"/>
        <v>0.12415599477227056</v>
      </c>
      <c r="L68" s="87">
        <f t="shared" si="3"/>
        <v>139596077.67000002</v>
      </c>
      <c r="M68" s="8"/>
    </row>
    <row r="69" spans="1:13" s="7" customFormat="1" ht="15">
      <c r="A69" s="52" t="s">
        <v>70</v>
      </c>
      <c r="B69" s="53" t="s">
        <v>78</v>
      </c>
      <c r="C69" s="84">
        <v>8424590</v>
      </c>
      <c r="D69" s="84">
        <v>7962088.84</v>
      </c>
      <c r="E69" s="84">
        <f>F69-1323325</f>
        <v>550916.1399999999</v>
      </c>
      <c r="F69" s="84">
        <v>1874241.14</v>
      </c>
      <c r="G69" s="56">
        <f t="shared" si="5"/>
        <v>0.005633468582468941</v>
      </c>
      <c r="H69" s="84">
        <f t="shared" si="2"/>
        <v>6087847.7</v>
      </c>
      <c r="I69" s="84">
        <f>J69-1063638</f>
        <v>458848.3500000001</v>
      </c>
      <c r="J69" s="84">
        <v>1522486.35</v>
      </c>
      <c r="K69" s="56">
        <f t="shared" si="6"/>
        <v>0.005099415879033065</v>
      </c>
      <c r="L69" s="87">
        <f t="shared" si="3"/>
        <v>6439602.49</v>
      </c>
      <c r="M69" s="8"/>
    </row>
    <row r="70" spans="1:13" s="7" customFormat="1" ht="15">
      <c r="A70" s="52" t="s">
        <v>71</v>
      </c>
      <c r="B70" s="53" t="s">
        <v>79</v>
      </c>
      <c r="C70" s="84">
        <v>19657549</v>
      </c>
      <c r="D70" s="84">
        <v>9304009</v>
      </c>
      <c r="E70" s="84">
        <f>F70-6534794</f>
        <v>-3.190000000409782</v>
      </c>
      <c r="F70" s="84">
        <v>6534790.81</v>
      </c>
      <c r="G70" s="56">
        <f t="shared" si="5"/>
        <v>0.019641836866915514</v>
      </c>
      <c r="H70" s="84">
        <f t="shared" si="2"/>
        <v>2769218.1900000004</v>
      </c>
      <c r="I70" s="84">
        <f>J70-3525393</f>
        <v>1068109.5899999999</v>
      </c>
      <c r="J70" s="84">
        <v>4593502.59</v>
      </c>
      <c r="K70" s="56">
        <f t="shared" si="6"/>
        <v>0.015385477871657444</v>
      </c>
      <c r="L70" s="87">
        <f t="shared" si="3"/>
        <v>4710506.41</v>
      </c>
      <c r="M70" s="8"/>
    </row>
    <row r="71" spans="1:13" s="7" customFormat="1" ht="15">
      <c r="A71" s="52" t="s">
        <v>199</v>
      </c>
      <c r="B71" s="53" t="s">
        <v>200</v>
      </c>
      <c r="C71" s="84">
        <v>907240</v>
      </c>
      <c r="D71" s="84">
        <v>635068</v>
      </c>
      <c r="E71" s="84">
        <f>F71-0</f>
        <v>0</v>
      </c>
      <c r="F71" s="84">
        <v>0</v>
      </c>
      <c r="G71" s="56">
        <f t="shared" si="5"/>
        <v>0</v>
      </c>
      <c r="H71" s="84">
        <f t="shared" si="2"/>
        <v>635068</v>
      </c>
      <c r="I71" s="84">
        <f>J71-0</f>
        <v>0</v>
      </c>
      <c r="J71" s="84">
        <v>0</v>
      </c>
      <c r="K71" s="56">
        <f t="shared" si="6"/>
        <v>0</v>
      </c>
      <c r="L71" s="87">
        <f t="shared" si="3"/>
        <v>635068</v>
      </c>
      <c r="M71" s="8"/>
    </row>
    <row r="72" spans="1:13" s="7" customFormat="1" ht="15">
      <c r="A72" s="47" t="s">
        <v>81</v>
      </c>
      <c r="B72" s="50" t="s">
        <v>80</v>
      </c>
      <c r="C72" s="83">
        <f>SUM(C73:C82)</f>
        <v>294666958</v>
      </c>
      <c r="D72" s="83">
        <f>SUM(D73:D82)</f>
        <v>286930647.24</v>
      </c>
      <c r="E72" s="83">
        <f>SUM(E73:E82)</f>
        <v>32139330.180000007</v>
      </c>
      <c r="F72" s="83">
        <f>SUM(F73:F82)</f>
        <v>92086103.18</v>
      </c>
      <c r="G72" s="51">
        <f t="shared" si="5"/>
        <v>0.2767862459504668</v>
      </c>
      <c r="H72" s="83">
        <f>D72-F72</f>
        <v>194844544.06</v>
      </c>
      <c r="I72" s="83">
        <f>SUM(I73:I82)</f>
        <v>40861179.28</v>
      </c>
      <c r="J72" s="83">
        <f>SUM(J73:J82)</f>
        <v>77418572.28</v>
      </c>
      <c r="K72" s="51">
        <f aca="true" t="shared" si="7" ref="K72:K103">(J72/$J$258)*100</f>
        <v>0.259305770995386</v>
      </c>
      <c r="L72" s="86">
        <f>D72-J72</f>
        <v>209512074.96</v>
      </c>
      <c r="M72" s="8"/>
    </row>
    <row r="73" spans="1:13" s="7" customFormat="1" ht="15">
      <c r="A73" s="52" t="s">
        <v>28</v>
      </c>
      <c r="B73" s="53" t="s">
        <v>33</v>
      </c>
      <c r="C73" s="84">
        <v>78395122</v>
      </c>
      <c r="D73" s="84">
        <v>77425122</v>
      </c>
      <c r="E73" s="84">
        <f>F73-14948033</f>
        <v>6119349.859999999</v>
      </c>
      <c r="F73" s="84">
        <v>21067382.86</v>
      </c>
      <c r="G73" s="56">
        <f t="shared" si="5"/>
        <v>0.0633229294372733</v>
      </c>
      <c r="H73" s="84">
        <f t="shared" si="2"/>
        <v>56357739.14</v>
      </c>
      <c r="I73" s="84">
        <f>J73-12994364</f>
        <v>6276594.98</v>
      </c>
      <c r="J73" s="84">
        <v>19270958.98</v>
      </c>
      <c r="K73" s="56">
        <f t="shared" si="7"/>
        <v>0.06454615125239503</v>
      </c>
      <c r="L73" s="87">
        <f t="shared" si="3"/>
        <v>58154163.019999996</v>
      </c>
      <c r="M73" s="8"/>
    </row>
    <row r="74" spans="1:13" s="7" customFormat="1" ht="15">
      <c r="A74" s="52" t="s">
        <v>64</v>
      </c>
      <c r="B74" s="53" t="s">
        <v>72</v>
      </c>
      <c r="C74" s="84">
        <v>0</v>
      </c>
      <c r="D74" s="84">
        <v>0</v>
      </c>
      <c r="E74" s="84">
        <f aca="true" t="shared" si="8" ref="E74:E82">F74-0</f>
        <v>0</v>
      </c>
      <c r="F74" s="84">
        <v>0</v>
      </c>
      <c r="G74" s="56">
        <f t="shared" si="5"/>
        <v>0</v>
      </c>
      <c r="H74" s="84">
        <f t="shared" si="2"/>
        <v>0</v>
      </c>
      <c r="I74" s="84">
        <v>0</v>
      </c>
      <c r="J74" s="84">
        <v>0</v>
      </c>
      <c r="K74" s="56">
        <f t="shared" si="7"/>
        <v>0</v>
      </c>
      <c r="L74" s="87">
        <f t="shared" si="3"/>
        <v>0</v>
      </c>
      <c r="M74" s="8"/>
    </row>
    <row r="75" spans="1:13" s="7" customFormat="1" ht="15">
      <c r="A75" s="52" t="s">
        <v>52</v>
      </c>
      <c r="B75" s="53" t="s">
        <v>59</v>
      </c>
      <c r="C75" s="84">
        <v>295000</v>
      </c>
      <c r="D75" s="84">
        <v>295000</v>
      </c>
      <c r="E75" s="84">
        <f t="shared" si="8"/>
        <v>0</v>
      </c>
      <c r="F75" s="84">
        <v>0</v>
      </c>
      <c r="G75" s="56">
        <f t="shared" si="5"/>
        <v>0</v>
      </c>
      <c r="H75" s="84">
        <f t="shared" si="2"/>
        <v>295000</v>
      </c>
      <c r="I75" s="84">
        <f aca="true" t="shared" si="9" ref="I75:I81">J75-0</f>
        <v>0</v>
      </c>
      <c r="J75" s="84">
        <v>0</v>
      </c>
      <c r="K75" s="56">
        <f t="shared" si="7"/>
        <v>0</v>
      </c>
      <c r="L75" s="87">
        <f t="shared" si="3"/>
        <v>295000</v>
      </c>
      <c r="M75" s="8"/>
    </row>
    <row r="76" spans="1:13" s="7" customFormat="1" ht="15">
      <c r="A76" s="52" t="s">
        <v>131</v>
      </c>
      <c r="B76" s="53" t="s">
        <v>132</v>
      </c>
      <c r="C76" s="84">
        <v>5000</v>
      </c>
      <c r="D76" s="84">
        <v>5000</v>
      </c>
      <c r="E76" s="84">
        <f t="shared" si="8"/>
        <v>0</v>
      </c>
      <c r="F76" s="84">
        <v>0</v>
      </c>
      <c r="G76" s="56">
        <f t="shared" si="5"/>
        <v>0</v>
      </c>
      <c r="H76" s="84">
        <f>D76-F76</f>
        <v>5000</v>
      </c>
      <c r="I76" s="84">
        <f t="shared" si="9"/>
        <v>0</v>
      </c>
      <c r="J76" s="84">
        <v>0</v>
      </c>
      <c r="K76" s="56">
        <f t="shared" si="7"/>
        <v>0</v>
      </c>
      <c r="L76" s="87">
        <f t="shared" si="3"/>
        <v>5000</v>
      </c>
      <c r="M76" s="8"/>
    </row>
    <row r="77" spans="1:13" s="7" customFormat="1" ht="15">
      <c r="A77" s="52" t="s">
        <v>82</v>
      </c>
      <c r="B77" s="53" t="s">
        <v>84</v>
      </c>
      <c r="C77" s="84">
        <v>10236281</v>
      </c>
      <c r="D77" s="84">
        <v>14238445.94</v>
      </c>
      <c r="E77" s="84">
        <f>F77-986666</f>
        <v>536626.28</v>
      </c>
      <c r="F77" s="84">
        <v>1523292.28</v>
      </c>
      <c r="G77" s="56">
        <f t="shared" si="5"/>
        <v>0.004578609986811773</v>
      </c>
      <c r="H77" s="84">
        <f t="shared" si="2"/>
        <v>12715153.66</v>
      </c>
      <c r="I77" s="84">
        <f>J77-620967</f>
        <v>248638.51</v>
      </c>
      <c r="J77" s="84">
        <v>869605.51</v>
      </c>
      <c r="K77" s="56">
        <f t="shared" si="7"/>
        <v>0.0029126567513650596</v>
      </c>
      <c r="L77" s="87">
        <f t="shared" si="3"/>
        <v>13368840.43</v>
      </c>
      <c r="M77" s="8"/>
    </row>
    <row r="78" spans="1:13" s="7" customFormat="1" ht="15">
      <c r="A78" s="52" t="s">
        <v>83</v>
      </c>
      <c r="B78" s="53" t="s">
        <v>85</v>
      </c>
      <c r="C78" s="84">
        <v>189414696</v>
      </c>
      <c r="D78" s="84">
        <v>182237679.3</v>
      </c>
      <c r="E78" s="84">
        <f>F78-44012074</f>
        <v>25483354.040000007</v>
      </c>
      <c r="F78" s="84">
        <v>69495428.04</v>
      </c>
      <c r="G78" s="56">
        <f t="shared" si="5"/>
        <v>0.20888470652638175</v>
      </c>
      <c r="H78" s="84">
        <f t="shared" si="2"/>
        <v>112742251.26</v>
      </c>
      <c r="I78" s="84">
        <f>J78-22942062</f>
        <v>34335945.79</v>
      </c>
      <c r="J78" s="84">
        <v>57278007.79</v>
      </c>
      <c r="K78" s="56">
        <f t="shared" si="7"/>
        <v>0.19184696299162587</v>
      </c>
      <c r="L78" s="87">
        <f t="shared" si="3"/>
        <v>124959671.51000002</v>
      </c>
      <c r="M78" s="8"/>
    </row>
    <row r="79" spans="1:13" s="7" customFormat="1" ht="15">
      <c r="A79" s="52" t="s">
        <v>93</v>
      </c>
      <c r="B79" s="53" t="s">
        <v>99</v>
      </c>
      <c r="C79" s="84">
        <v>525000</v>
      </c>
      <c r="D79" s="84">
        <v>525000</v>
      </c>
      <c r="E79" s="84">
        <f t="shared" si="8"/>
        <v>0</v>
      </c>
      <c r="F79" s="84">
        <v>0</v>
      </c>
      <c r="G79" s="56">
        <f aca="true" t="shared" si="10" ref="G79:G110">(F79/$F$258)*100</f>
        <v>0</v>
      </c>
      <c r="H79" s="84">
        <f t="shared" si="2"/>
        <v>525000</v>
      </c>
      <c r="I79" s="84">
        <f>J79-0</f>
        <v>0</v>
      </c>
      <c r="J79" s="84">
        <v>0</v>
      </c>
      <c r="K79" s="56">
        <f t="shared" si="7"/>
        <v>0</v>
      </c>
      <c r="L79" s="87">
        <f t="shared" si="3"/>
        <v>525000</v>
      </c>
      <c r="M79" s="8"/>
    </row>
    <row r="80" spans="1:13" s="7" customFormat="1" ht="15">
      <c r="A80" s="52" t="s">
        <v>68</v>
      </c>
      <c r="B80" s="53" t="s">
        <v>76</v>
      </c>
      <c r="C80" s="84">
        <v>14585859</v>
      </c>
      <c r="D80" s="84">
        <v>10994400</v>
      </c>
      <c r="E80" s="84">
        <f t="shared" si="8"/>
        <v>0</v>
      </c>
      <c r="F80" s="84">
        <v>0</v>
      </c>
      <c r="G80" s="56">
        <f t="shared" si="10"/>
        <v>0</v>
      </c>
      <c r="H80" s="84">
        <f>D80-F80</f>
        <v>10994400</v>
      </c>
      <c r="I80" s="84">
        <f>J80-0</f>
        <v>0</v>
      </c>
      <c r="J80" s="84">
        <v>0</v>
      </c>
      <c r="K80" s="56">
        <f t="shared" si="7"/>
        <v>0</v>
      </c>
      <c r="L80" s="87">
        <f t="shared" si="3"/>
        <v>10994400</v>
      </c>
      <c r="M80" s="8"/>
    </row>
    <row r="81" spans="1:13" s="7" customFormat="1" ht="15">
      <c r="A81" s="52" t="s">
        <v>53</v>
      </c>
      <c r="B81" s="53" t="s">
        <v>60</v>
      </c>
      <c r="C81" s="84">
        <v>1160000</v>
      </c>
      <c r="D81" s="84">
        <v>1160000</v>
      </c>
      <c r="E81" s="84">
        <f t="shared" si="8"/>
        <v>0</v>
      </c>
      <c r="F81" s="84">
        <v>0</v>
      </c>
      <c r="G81" s="56">
        <f t="shared" si="10"/>
        <v>0</v>
      </c>
      <c r="H81" s="84">
        <f t="shared" si="2"/>
        <v>1160000</v>
      </c>
      <c r="I81" s="84">
        <f t="shared" si="9"/>
        <v>0</v>
      </c>
      <c r="J81" s="84">
        <v>0</v>
      </c>
      <c r="K81" s="56">
        <f t="shared" si="7"/>
        <v>0</v>
      </c>
      <c r="L81" s="87">
        <f t="shared" si="3"/>
        <v>1160000</v>
      </c>
      <c r="M81" s="8"/>
    </row>
    <row r="82" spans="1:13" s="7" customFormat="1" ht="15">
      <c r="A82" s="52" t="s">
        <v>96</v>
      </c>
      <c r="B82" s="53" t="s">
        <v>102</v>
      </c>
      <c r="C82" s="84">
        <v>50000</v>
      </c>
      <c r="D82" s="84">
        <v>50000</v>
      </c>
      <c r="E82" s="84">
        <f t="shared" si="8"/>
        <v>0</v>
      </c>
      <c r="F82" s="84">
        <v>0</v>
      </c>
      <c r="G82" s="56">
        <f t="shared" si="10"/>
        <v>0</v>
      </c>
      <c r="H82" s="84">
        <f t="shared" si="2"/>
        <v>50000</v>
      </c>
      <c r="I82" s="84">
        <f>J82-0</f>
        <v>0</v>
      </c>
      <c r="J82" s="84">
        <v>0</v>
      </c>
      <c r="K82" s="56">
        <f t="shared" si="7"/>
        <v>0</v>
      </c>
      <c r="L82" s="87">
        <f t="shared" si="3"/>
        <v>50000</v>
      </c>
      <c r="M82" s="8"/>
    </row>
    <row r="83" spans="1:13" s="7" customFormat="1" ht="15">
      <c r="A83" s="47" t="s">
        <v>87</v>
      </c>
      <c r="B83" s="50" t="s">
        <v>86</v>
      </c>
      <c r="C83" s="83">
        <f>SUM(C84:C87)</f>
        <v>23346008109</v>
      </c>
      <c r="D83" s="83">
        <f>SUM(D84:D87)</f>
        <v>24128374638.68</v>
      </c>
      <c r="E83" s="83">
        <f>SUM(E84:E87)</f>
        <v>4502867263.6</v>
      </c>
      <c r="F83" s="83">
        <f>SUM(F84:F87)</f>
        <v>11922202533.6</v>
      </c>
      <c r="G83" s="51">
        <f t="shared" si="10"/>
        <v>35.83495846583925</v>
      </c>
      <c r="H83" s="83">
        <f t="shared" si="2"/>
        <v>12206172105.08</v>
      </c>
      <c r="I83" s="83">
        <f>SUM(I84:I87)</f>
        <v>4436013848.5</v>
      </c>
      <c r="J83" s="83">
        <f>SUM(J84:J87)</f>
        <v>11702685179.5</v>
      </c>
      <c r="K83" s="51">
        <f t="shared" si="7"/>
        <v>39.19697449613733</v>
      </c>
      <c r="L83" s="86">
        <f t="shared" si="3"/>
        <v>12425689459.18</v>
      </c>
      <c r="M83" s="8"/>
    </row>
    <row r="84" spans="1:13" s="7" customFormat="1" ht="15">
      <c r="A84" s="52" t="s">
        <v>28</v>
      </c>
      <c r="B84" s="53" t="s">
        <v>33</v>
      </c>
      <c r="C84" s="84">
        <v>3027654252</v>
      </c>
      <c r="D84" s="84">
        <v>3030333537.28</v>
      </c>
      <c r="E84" s="84">
        <f>F84-1117603180</f>
        <v>1533412667.94</v>
      </c>
      <c r="F84" s="84">
        <v>2651015847.94</v>
      </c>
      <c r="G84" s="56">
        <f t="shared" si="10"/>
        <v>7.968246012888848</v>
      </c>
      <c r="H84" s="84">
        <f t="shared" si="2"/>
        <v>379317689.34000015</v>
      </c>
      <c r="I84" s="84">
        <f>J84-1093459037</f>
        <v>1448984378.7199998</v>
      </c>
      <c r="J84" s="84">
        <v>2542443415.72</v>
      </c>
      <c r="K84" s="56">
        <f t="shared" si="7"/>
        <v>8.51566014083846</v>
      </c>
      <c r="L84" s="87">
        <f t="shared" si="3"/>
        <v>487890121.5600004</v>
      </c>
      <c r="M84" s="8"/>
    </row>
    <row r="85" spans="1:13" s="7" customFormat="1" ht="15">
      <c r="A85" s="52" t="s">
        <v>39</v>
      </c>
      <c r="B85" s="53" t="s">
        <v>41</v>
      </c>
      <c r="C85" s="84">
        <v>387035</v>
      </c>
      <c r="D85" s="84">
        <v>387035</v>
      </c>
      <c r="E85" s="84">
        <f>F85-0</f>
        <v>0</v>
      </c>
      <c r="F85" s="84">
        <v>0</v>
      </c>
      <c r="G85" s="56">
        <f t="shared" si="10"/>
        <v>0</v>
      </c>
      <c r="H85" s="84">
        <f t="shared" si="2"/>
        <v>387035</v>
      </c>
      <c r="I85" s="84">
        <f>J85-0</f>
        <v>0</v>
      </c>
      <c r="J85" s="84">
        <v>0</v>
      </c>
      <c r="K85" s="56">
        <f t="shared" si="7"/>
        <v>0</v>
      </c>
      <c r="L85" s="87">
        <f t="shared" si="3"/>
        <v>387035</v>
      </c>
      <c r="M85" s="8"/>
    </row>
    <row r="86" spans="1:13" s="7" customFormat="1" ht="15">
      <c r="A86" s="52" t="s">
        <v>49</v>
      </c>
      <c r="B86" s="53" t="s">
        <v>56</v>
      </c>
      <c r="C86" s="84">
        <v>0</v>
      </c>
      <c r="D86" s="84">
        <v>0</v>
      </c>
      <c r="E86" s="84">
        <f>F86-0</f>
        <v>0</v>
      </c>
      <c r="F86" s="84">
        <v>0</v>
      </c>
      <c r="G86" s="56">
        <f t="shared" si="10"/>
        <v>0</v>
      </c>
      <c r="H86" s="84">
        <f t="shared" si="2"/>
        <v>0</v>
      </c>
      <c r="I86" s="84">
        <f>J86-0</f>
        <v>0</v>
      </c>
      <c r="J86" s="84">
        <v>0</v>
      </c>
      <c r="K86" s="56">
        <f t="shared" si="7"/>
        <v>0</v>
      </c>
      <c r="L86" s="87">
        <f t="shared" si="3"/>
        <v>0</v>
      </c>
      <c r="M86" s="8"/>
    </row>
    <row r="87" spans="1:13" s="7" customFormat="1" ht="15">
      <c r="A87" s="52" t="s">
        <v>88</v>
      </c>
      <c r="B87" s="53" t="s">
        <v>89</v>
      </c>
      <c r="C87" s="84">
        <v>20317966822</v>
      </c>
      <c r="D87" s="84">
        <v>21097654066.4</v>
      </c>
      <c r="E87" s="84">
        <f>F87-6301732090</f>
        <v>2969454595.66</v>
      </c>
      <c r="F87" s="84">
        <v>9271186685.66</v>
      </c>
      <c r="G87" s="56">
        <f t="shared" si="10"/>
        <v>27.866712452950402</v>
      </c>
      <c r="H87" s="84">
        <f t="shared" si="2"/>
        <v>11826467380.740002</v>
      </c>
      <c r="I87" s="84">
        <f>J87-6173212294</f>
        <v>2987029469.7800007</v>
      </c>
      <c r="J87" s="84">
        <v>9160241763.78</v>
      </c>
      <c r="K87" s="56">
        <f t="shared" si="7"/>
        <v>30.681314355298873</v>
      </c>
      <c r="L87" s="87">
        <f t="shared" si="3"/>
        <v>11937412302.62</v>
      </c>
      <c r="M87" s="8"/>
    </row>
    <row r="88" spans="1:13" s="7" customFormat="1" ht="15">
      <c r="A88" s="47" t="s">
        <v>90</v>
      </c>
      <c r="B88" s="50" t="s">
        <v>91</v>
      </c>
      <c r="C88" s="83">
        <f>SUM(C89:C99)</f>
        <v>6351281228</v>
      </c>
      <c r="D88" s="83">
        <f>SUM(D89:D99)</f>
        <v>6680954037.35</v>
      </c>
      <c r="E88" s="83">
        <f>SUM(E89:E99)</f>
        <v>599912502.9999999</v>
      </c>
      <c r="F88" s="83">
        <f>SUM(F89:F99)</f>
        <v>3037584061</v>
      </c>
      <c r="G88" s="51">
        <f t="shared" si="10"/>
        <v>9.130166876100008</v>
      </c>
      <c r="H88" s="83">
        <f t="shared" si="2"/>
        <v>3643369976.3500004</v>
      </c>
      <c r="I88" s="83">
        <f>SUM(I89:I99)</f>
        <v>751943171.5799999</v>
      </c>
      <c r="J88" s="83">
        <f>SUM(J89:J99)</f>
        <v>2293390181.5799994</v>
      </c>
      <c r="K88" s="51">
        <f t="shared" si="7"/>
        <v>7.681481222322666</v>
      </c>
      <c r="L88" s="86">
        <f t="shared" si="3"/>
        <v>4387563855.77</v>
      </c>
      <c r="M88" s="8"/>
    </row>
    <row r="89" spans="1:13" s="7" customFormat="1" ht="15">
      <c r="A89" s="52" t="s">
        <v>28</v>
      </c>
      <c r="B89" s="53" t="s">
        <v>33</v>
      </c>
      <c r="C89" s="84">
        <v>785893545</v>
      </c>
      <c r="D89" s="84">
        <v>817511573.84</v>
      </c>
      <c r="E89" s="84">
        <f>F89-259780559</f>
        <v>112398077.56</v>
      </c>
      <c r="F89" s="84">
        <v>372178636.56</v>
      </c>
      <c r="G89" s="56">
        <f t="shared" si="10"/>
        <v>1.1186696372094822</v>
      </c>
      <c r="H89" s="84">
        <f t="shared" si="2"/>
        <v>445332937.28000003</v>
      </c>
      <c r="I89" s="84">
        <f>J89-214914381</f>
        <v>103673602.06</v>
      </c>
      <c r="J89" s="84">
        <v>318587983.06</v>
      </c>
      <c r="K89" s="56">
        <f t="shared" si="7"/>
        <v>1.0670786110399486</v>
      </c>
      <c r="L89" s="87">
        <f t="shared" si="3"/>
        <v>498923590.78000003</v>
      </c>
      <c r="M89" s="8"/>
    </row>
    <row r="90" spans="1:13" s="7" customFormat="1" ht="15">
      <c r="A90" s="52" t="s">
        <v>29</v>
      </c>
      <c r="B90" s="53" t="s">
        <v>34</v>
      </c>
      <c r="C90" s="84">
        <v>30549623</v>
      </c>
      <c r="D90" s="84">
        <v>33952456.33</v>
      </c>
      <c r="E90" s="84">
        <f>F90-3671152</f>
        <v>4212141.48</v>
      </c>
      <c r="F90" s="84">
        <v>7883293.48</v>
      </c>
      <c r="G90" s="56">
        <f t="shared" si="10"/>
        <v>0.023695075942022192</v>
      </c>
      <c r="H90" s="84">
        <f t="shared" si="2"/>
        <v>26069162.849999998</v>
      </c>
      <c r="I90" s="84">
        <f>J90-2642132</f>
        <v>2335512.05</v>
      </c>
      <c r="J90" s="84">
        <v>4977644.05</v>
      </c>
      <c r="K90" s="56">
        <f t="shared" si="7"/>
        <v>0.016672121302594572</v>
      </c>
      <c r="L90" s="87">
        <f t="shared" si="3"/>
        <v>28974812.279999997</v>
      </c>
      <c r="M90" s="8"/>
    </row>
    <row r="91" spans="1:13" s="7" customFormat="1" ht="15">
      <c r="A91" s="52" t="s">
        <v>65</v>
      </c>
      <c r="B91" s="53" t="s">
        <v>73</v>
      </c>
      <c r="C91" s="84">
        <v>224867763</v>
      </c>
      <c r="D91" s="84">
        <v>226267763</v>
      </c>
      <c r="E91" s="84">
        <f>F91-54522514</f>
        <v>27857237.47</v>
      </c>
      <c r="F91" s="84">
        <v>82379751.47</v>
      </c>
      <c r="G91" s="56">
        <f t="shared" si="10"/>
        <v>0.24761154359136764</v>
      </c>
      <c r="H91" s="84">
        <f t="shared" si="2"/>
        <v>143888011.53</v>
      </c>
      <c r="I91" s="84">
        <f>J91-47536043</f>
        <v>24073658.040000007</v>
      </c>
      <c r="J91" s="84">
        <v>71609701.04</v>
      </c>
      <c r="K91" s="56">
        <f t="shared" si="7"/>
        <v>0.23984953728891337</v>
      </c>
      <c r="L91" s="87">
        <f t="shared" si="3"/>
        <v>154658061.95999998</v>
      </c>
      <c r="M91" s="8"/>
    </row>
    <row r="92" spans="1:13" s="7" customFormat="1" ht="15">
      <c r="A92" s="52" t="s">
        <v>83</v>
      </c>
      <c r="B92" s="53" t="s">
        <v>85</v>
      </c>
      <c r="C92" s="84">
        <v>0</v>
      </c>
      <c r="D92" s="84">
        <v>0</v>
      </c>
      <c r="E92" s="84">
        <f>F92-0</f>
        <v>0</v>
      </c>
      <c r="F92" s="84">
        <v>0</v>
      </c>
      <c r="G92" s="56">
        <f t="shared" si="10"/>
        <v>0</v>
      </c>
      <c r="H92" s="84">
        <f t="shared" si="2"/>
        <v>0</v>
      </c>
      <c r="I92" s="84">
        <f>J92-0</f>
        <v>0</v>
      </c>
      <c r="J92" s="84">
        <v>0</v>
      </c>
      <c r="K92" s="56">
        <f t="shared" si="7"/>
        <v>0</v>
      </c>
      <c r="L92" s="87">
        <f t="shared" si="3"/>
        <v>0</v>
      </c>
      <c r="M92" s="8"/>
    </row>
    <row r="93" spans="1:13" s="7" customFormat="1" ht="15">
      <c r="A93" s="52" t="s">
        <v>92</v>
      </c>
      <c r="B93" s="53" t="s">
        <v>98</v>
      </c>
      <c r="C93" s="84">
        <v>323528151</v>
      </c>
      <c r="D93" s="84">
        <v>394776151</v>
      </c>
      <c r="E93" s="84">
        <f>F93-127597363</f>
        <v>34529885.53999999</v>
      </c>
      <c r="F93" s="84">
        <v>162127248.54</v>
      </c>
      <c r="G93" s="56">
        <f t="shared" si="10"/>
        <v>0.4873112330744289</v>
      </c>
      <c r="H93" s="84">
        <f t="shared" si="2"/>
        <v>232648902.46</v>
      </c>
      <c r="I93" s="84">
        <f>J93-127597363</f>
        <v>266037.54000000656</v>
      </c>
      <c r="J93" s="84">
        <v>127863400.54</v>
      </c>
      <c r="K93" s="56">
        <f t="shared" si="7"/>
        <v>0.42826568202784937</v>
      </c>
      <c r="L93" s="87">
        <f t="shared" si="3"/>
        <v>266912750.45999998</v>
      </c>
      <c r="M93" s="8"/>
    </row>
    <row r="94" spans="1:13" s="7" customFormat="1" ht="15">
      <c r="A94" s="52" t="s">
        <v>67</v>
      </c>
      <c r="B94" s="53" t="s">
        <v>75</v>
      </c>
      <c r="C94" s="84">
        <v>4664785397</v>
      </c>
      <c r="D94" s="84">
        <v>4856409344.18</v>
      </c>
      <c r="E94" s="84">
        <f>F94-1921140821</f>
        <v>405901272.28999996</v>
      </c>
      <c r="F94" s="84">
        <v>2327042093.29</v>
      </c>
      <c r="G94" s="56">
        <f t="shared" si="10"/>
        <v>6.994467383547015</v>
      </c>
      <c r="H94" s="84">
        <f t="shared" si="2"/>
        <v>2529367250.8900003</v>
      </c>
      <c r="I94" s="84">
        <f>J94-1097791049</f>
        <v>602892086.72</v>
      </c>
      <c r="J94" s="84">
        <v>1700683135.72</v>
      </c>
      <c r="K94" s="56">
        <f t="shared" si="7"/>
        <v>5.696268204634027</v>
      </c>
      <c r="L94" s="87">
        <f t="shared" si="3"/>
        <v>3155726208.46</v>
      </c>
      <c r="M94" s="8"/>
    </row>
    <row r="95" spans="1:13" s="7" customFormat="1" ht="15">
      <c r="A95" s="52" t="s">
        <v>93</v>
      </c>
      <c r="B95" s="53" t="s">
        <v>99</v>
      </c>
      <c r="C95" s="84">
        <v>233565284</v>
      </c>
      <c r="D95" s="84">
        <v>236065284</v>
      </c>
      <c r="E95" s="84">
        <f>F95-39349001</f>
        <v>14366301.630000003</v>
      </c>
      <c r="F95" s="84">
        <v>53715302.63</v>
      </c>
      <c r="G95" s="56">
        <f t="shared" si="10"/>
        <v>0.16145386167540657</v>
      </c>
      <c r="H95" s="84">
        <f t="shared" si="2"/>
        <v>182349981.37</v>
      </c>
      <c r="I95" s="84">
        <f>J95-27605285</f>
        <v>17164148.68</v>
      </c>
      <c r="J95" s="84">
        <v>44769433.68</v>
      </c>
      <c r="K95" s="56">
        <f t="shared" si="7"/>
        <v>0.1499507440596165</v>
      </c>
      <c r="L95" s="87">
        <f t="shared" si="3"/>
        <v>191295850.32</v>
      </c>
      <c r="M95" s="8"/>
    </row>
    <row r="96" spans="1:13" s="7" customFormat="1" ht="15">
      <c r="A96" s="52" t="s">
        <v>94</v>
      </c>
      <c r="B96" s="53" t="s">
        <v>100</v>
      </c>
      <c r="C96" s="84">
        <v>24638493</v>
      </c>
      <c r="D96" s="84">
        <v>24638493</v>
      </c>
      <c r="E96" s="84">
        <f>F96-846467</f>
        <v>-0.40000000002328306</v>
      </c>
      <c r="F96" s="84">
        <v>846466.6</v>
      </c>
      <c r="G96" s="56">
        <f t="shared" si="10"/>
        <v>0.0025442526553489824</v>
      </c>
      <c r="H96" s="84">
        <f t="shared" si="2"/>
        <v>23792026.4</v>
      </c>
      <c r="I96" s="84">
        <f>J96-493706</f>
        <v>21663.559999999998</v>
      </c>
      <c r="J96" s="84">
        <v>515369.56</v>
      </c>
      <c r="K96" s="56">
        <f t="shared" si="7"/>
        <v>0.0017261788375536396</v>
      </c>
      <c r="L96" s="87">
        <f t="shared" si="3"/>
        <v>24123123.44</v>
      </c>
      <c r="M96" s="8"/>
    </row>
    <row r="97" spans="1:13" s="7" customFormat="1" ht="15">
      <c r="A97" s="52" t="s">
        <v>95</v>
      </c>
      <c r="B97" s="53" t="s">
        <v>101</v>
      </c>
      <c r="C97" s="84">
        <v>57532972</v>
      </c>
      <c r="D97" s="84">
        <v>85412972</v>
      </c>
      <c r="E97" s="84">
        <f>F97-30763681</f>
        <v>647587.4299999997</v>
      </c>
      <c r="F97" s="84">
        <v>31411268.43</v>
      </c>
      <c r="G97" s="56">
        <f t="shared" si="10"/>
        <v>0.09441388840493785</v>
      </c>
      <c r="H97" s="84">
        <f t="shared" si="2"/>
        <v>54001703.57</v>
      </c>
      <c r="I97" s="84">
        <f>J97-22867051</f>
        <v>1516462.9299999997</v>
      </c>
      <c r="J97" s="84">
        <v>24383513.93</v>
      </c>
      <c r="K97" s="56">
        <f t="shared" si="7"/>
        <v>0.08167014313216399</v>
      </c>
      <c r="L97" s="87">
        <f t="shared" si="3"/>
        <v>61029458.07</v>
      </c>
      <c r="M97" s="8"/>
    </row>
    <row r="98" spans="1:13" s="7" customFormat="1" ht="15">
      <c r="A98" s="52" t="s">
        <v>68</v>
      </c>
      <c r="B98" s="53" t="s">
        <v>76</v>
      </c>
      <c r="C98" s="84">
        <v>5820000</v>
      </c>
      <c r="D98" s="84">
        <v>5820000</v>
      </c>
      <c r="E98" s="84">
        <f>F98-0</f>
        <v>0</v>
      </c>
      <c r="F98" s="84">
        <v>0</v>
      </c>
      <c r="G98" s="56">
        <f t="shared" si="10"/>
        <v>0</v>
      </c>
      <c r="H98" s="84">
        <f t="shared" si="2"/>
        <v>5820000</v>
      </c>
      <c r="I98" s="84">
        <f>J98-0</f>
        <v>0</v>
      </c>
      <c r="J98" s="84">
        <v>0</v>
      </c>
      <c r="K98" s="56">
        <f t="shared" si="7"/>
        <v>0</v>
      </c>
      <c r="L98" s="87">
        <f t="shared" si="3"/>
        <v>5820000</v>
      </c>
      <c r="M98" s="8"/>
    </row>
    <row r="99" spans="1:13" s="7" customFormat="1" ht="15">
      <c r="A99" s="52" t="s">
        <v>97</v>
      </c>
      <c r="B99" s="53" t="s">
        <v>241</v>
      </c>
      <c r="C99" s="84">
        <v>100000</v>
      </c>
      <c r="D99" s="84">
        <v>100000</v>
      </c>
      <c r="E99" s="84">
        <f>F99-0</f>
        <v>0</v>
      </c>
      <c r="F99" s="84">
        <v>0</v>
      </c>
      <c r="G99" s="56">
        <f t="shared" si="10"/>
        <v>0</v>
      </c>
      <c r="H99" s="84">
        <f t="shared" si="2"/>
        <v>100000</v>
      </c>
      <c r="I99" s="84">
        <f>J99-0</f>
        <v>0</v>
      </c>
      <c r="J99" s="84">
        <v>0</v>
      </c>
      <c r="K99" s="56">
        <f t="shared" si="7"/>
        <v>0</v>
      </c>
      <c r="L99" s="87">
        <f t="shared" si="3"/>
        <v>100000</v>
      </c>
      <c r="M99" s="8"/>
    </row>
    <row r="100" spans="1:17" s="7" customFormat="1" ht="15">
      <c r="A100" s="47" t="s">
        <v>104</v>
      </c>
      <c r="B100" s="50" t="s">
        <v>103</v>
      </c>
      <c r="C100" s="83">
        <f>SUM(C101:C105)</f>
        <v>30006918</v>
      </c>
      <c r="D100" s="83">
        <f>SUM(D101:D105)</f>
        <v>29932489.09</v>
      </c>
      <c r="E100" s="83">
        <f>SUM(E101:E105)</f>
        <v>3649374.8499999996</v>
      </c>
      <c r="F100" s="83">
        <f>SUM(F101:F105)</f>
        <v>12271674.85</v>
      </c>
      <c r="G100" s="51">
        <f t="shared" si="10"/>
        <v>0.03688537896556323</v>
      </c>
      <c r="H100" s="83">
        <f t="shared" si="2"/>
        <v>17660814.240000002</v>
      </c>
      <c r="I100" s="83">
        <f>SUM(I101:I105)</f>
        <v>3879059.789999999</v>
      </c>
      <c r="J100" s="83">
        <f>SUM(J101:J105)</f>
        <v>12185737.79</v>
      </c>
      <c r="K100" s="51">
        <f t="shared" si="7"/>
        <v>0.0408149109409482</v>
      </c>
      <c r="L100" s="86">
        <f t="shared" si="3"/>
        <v>17746751.3</v>
      </c>
      <c r="M100" s="8"/>
      <c r="N100" s="88"/>
      <c r="O100" s="88"/>
      <c r="P100" s="88"/>
      <c r="Q100" s="88"/>
    </row>
    <row r="101" spans="1:13" s="7" customFormat="1" ht="15">
      <c r="A101" s="52" t="s">
        <v>28</v>
      </c>
      <c r="B101" s="53" t="s">
        <v>33</v>
      </c>
      <c r="C101" s="84">
        <v>25533278</v>
      </c>
      <c r="D101" s="84">
        <v>25461326.03</v>
      </c>
      <c r="E101" s="84">
        <f>F101-8622300</f>
        <v>3649374.8499999996</v>
      </c>
      <c r="F101" s="84">
        <v>12271674.85</v>
      </c>
      <c r="G101" s="56">
        <f t="shared" si="10"/>
        <v>0.03688537896556323</v>
      </c>
      <c r="H101" s="84">
        <f t="shared" si="2"/>
        <v>13189651.180000002</v>
      </c>
      <c r="I101" s="84">
        <f>J101-8306678</f>
        <v>3879059.789999999</v>
      </c>
      <c r="J101" s="84">
        <v>12185737.79</v>
      </c>
      <c r="K101" s="56">
        <f t="shared" si="7"/>
        <v>0.0408149109409482</v>
      </c>
      <c r="L101" s="87">
        <f t="shared" si="3"/>
        <v>13275588.240000002</v>
      </c>
      <c r="M101" s="8"/>
    </row>
    <row r="102" spans="1:13" s="7" customFormat="1" ht="15">
      <c r="A102" s="52" t="s">
        <v>242</v>
      </c>
      <c r="B102" s="53" t="s">
        <v>243</v>
      </c>
      <c r="C102" s="84">
        <v>306753</v>
      </c>
      <c r="D102" s="84">
        <v>306753</v>
      </c>
      <c r="E102" s="84">
        <f>F102-0</f>
        <v>0</v>
      </c>
      <c r="F102" s="84">
        <v>0</v>
      </c>
      <c r="G102" s="56">
        <f t="shared" si="10"/>
        <v>0</v>
      </c>
      <c r="H102" s="84">
        <f>D102-F102</f>
        <v>306753</v>
      </c>
      <c r="I102" s="84">
        <f>J102-0</f>
        <v>0</v>
      </c>
      <c r="J102" s="84">
        <v>0</v>
      </c>
      <c r="K102" s="56">
        <f t="shared" si="7"/>
        <v>0</v>
      </c>
      <c r="L102" s="87">
        <f>D102-J102</f>
        <v>306753</v>
      </c>
      <c r="M102" s="8"/>
    </row>
    <row r="103" spans="1:13" s="7" customFormat="1" ht="15">
      <c r="A103" s="52" t="s">
        <v>105</v>
      </c>
      <c r="B103" s="53" t="s">
        <v>107</v>
      </c>
      <c r="C103" s="84">
        <v>2654282</v>
      </c>
      <c r="D103" s="84">
        <v>2651805.06</v>
      </c>
      <c r="E103" s="84">
        <f>F103-0</f>
        <v>0</v>
      </c>
      <c r="F103" s="84">
        <v>0</v>
      </c>
      <c r="G103" s="56">
        <f t="shared" si="10"/>
        <v>0</v>
      </c>
      <c r="H103" s="84">
        <f t="shared" si="2"/>
        <v>2651805.06</v>
      </c>
      <c r="I103" s="84">
        <f>J103-0</f>
        <v>0</v>
      </c>
      <c r="J103" s="84">
        <v>0</v>
      </c>
      <c r="K103" s="56">
        <f t="shared" si="7"/>
        <v>0</v>
      </c>
      <c r="L103" s="87">
        <f t="shared" si="3"/>
        <v>2651805.06</v>
      </c>
      <c r="M103" s="8"/>
    </row>
    <row r="104" spans="1:13" s="7" customFormat="1" ht="15">
      <c r="A104" s="52" t="s">
        <v>106</v>
      </c>
      <c r="B104" s="53" t="s">
        <v>108</v>
      </c>
      <c r="C104" s="84">
        <v>1162697</v>
      </c>
      <c r="D104" s="84">
        <v>1162697</v>
      </c>
      <c r="E104" s="84">
        <f>F104-0</f>
        <v>0</v>
      </c>
      <c r="F104" s="84">
        <v>0</v>
      </c>
      <c r="G104" s="56">
        <f t="shared" si="10"/>
        <v>0</v>
      </c>
      <c r="H104" s="84">
        <f t="shared" si="2"/>
        <v>1162697</v>
      </c>
      <c r="I104" s="84">
        <f>J104-0</f>
        <v>0</v>
      </c>
      <c r="J104" s="84">
        <v>0</v>
      </c>
      <c r="K104" s="56">
        <f aca="true" t="shared" si="11" ref="K104:K126">(J104/$J$258)*100</f>
        <v>0</v>
      </c>
      <c r="L104" s="87">
        <f t="shared" si="3"/>
        <v>1162697</v>
      </c>
      <c r="M104" s="8"/>
    </row>
    <row r="105" spans="1:13" s="7" customFormat="1" ht="15">
      <c r="A105" s="52" t="s">
        <v>53</v>
      </c>
      <c r="B105" s="53" t="s">
        <v>60</v>
      </c>
      <c r="C105" s="84">
        <v>349908</v>
      </c>
      <c r="D105" s="84">
        <v>349908</v>
      </c>
      <c r="E105" s="84">
        <f>F105-0</f>
        <v>0</v>
      </c>
      <c r="F105" s="84">
        <v>0</v>
      </c>
      <c r="G105" s="56">
        <f t="shared" si="10"/>
        <v>0</v>
      </c>
      <c r="H105" s="84">
        <f t="shared" si="2"/>
        <v>349908</v>
      </c>
      <c r="I105" s="84">
        <f>J105-0</f>
        <v>0</v>
      </c>
      <c r="J105" s="84">
        <v>0</v>
      </c>
      <c r="K105" s="56">
        <f t="shared" si="11"/>
        <v>0</v>
      </c>
      <c r="L105" s="87">
        <f t="shared" si="3"/>
        <v>349908</v>
      </c>
      <c r="M105" s="8"/>
    </row>
    <row r="106" spans="1:13" s="7" customFormat="1" ht="15">
      <c r="A106" s="47" t="s">
        <v>109</v>
      </c>
      <c r="B106" s="50" t="s">
        <v>110</v>
      </c>
      <c r="C106" s="83">
        <f>SUM(C107:C121)</f>
        <v>7310005018</v>
      </c>
      <c r="D106" s="83">
        <f>SUM(D107:D121)</f>
        <v>7613658316.67</v>
      </c>
      <c r="E106" s="83">
        <f>SUM(E107:E121)</f>
        <v>811069522.02</v>
      </c>
      <c r="F106" s="83">
        <f>SUM(F107:F121)</f>
        <v>2531685891.0200005</v>
      </c>
      <c r="G106" s="51">
        <f t="shared" si="10"/>
        <v>7.609572014698738</v>
      </c>
      <c r="H106" s="83">
        <f t="shared" si="2"/>
        <v>5081972425.65</v>
      </c>
      <c r="I106" s="83">
        <f>SUM(I107:I121)</f>
        <v>800629314.7100002</v>
      </c>
      <c r="J106" s="83">
        <f>SUM(J107:J121)</f>
        <v>2373904796.7099996</v>
      </c>
      <c r="K106" s="51">
        <f t="shared" si="11"/>
        <v>7.951156879439826</v>
      </c>
      <c r="L106" s="86">
        <f t="shared" si="3"/>
        <v>5239753519.960001</v>
      </c>
      <c r="M106" s="8"/>
    </row>
    <row r="107" spans="1:13" s="7" customFormat="1" ht="15">
      <c r="A107" s="52" t="s">
        <v>28</v>
      </c>
      <c r="B107" s="53" t="s">
        <v>33</v>
      </c>
      <c r="C107" s="84">
        <v>1978370265</v>
      </c>
      <c r="D107" s="84">
        <v>1992734949.49</v>
      </c>
      <c r="E107" s="84">
        <f>F107-575316177</f>
        <v>259803041.82000005</v>
      </c>
      <c r="F107" s="84">
        <v>835119218.82</v>
      </c>
      <c r="G107" s="56">
        <f t="shared" si="10"/>
        <v>2.5101454564370917</v>
      </c>
      <c r="H107" s="84">
        <f t="shared" si="2"/>
        <v>1157615730.67</v>
      </c>
      <c r="I107" s="84">
        <f>J107-531142532</f>
        <v>252562994.73000002</v>
      </c>
      <c r="J107" s="84">
        <v>783705526.73</v>
      </c>
      <c r="K107" s="56">
        <f t="shared" si="11"/>
        <v>2.6249433418519215</v>
      </c>
      <c r="L107" s="87">
        <f t="shared" si="3"/>
        <v>1209029422.76</v>
      </c>
      <c r="M107" s="8"/>
    </row>
    <row r="108" spans="1:13" s="7" customFormat="1" ht="15">
      <c r="A108" s="52" t="s">
        <v>29</v>
      </c>
      <c r="B108" s="53" t="s">
        <v>34</v>
      </c>
      <c r="C108" s="84">
        <v>130000</v>
      </c>
      <c r="D108" s="84">
        <v>130000</v>
      </c>
      <c r="E108" s="84">
        <f>F108-0</f>
        <v>0</v>
      </c>
      <c r="F108" s="84">
        <v>0</v>
      </c>
      <c r="G108" s="56">
        <f t="shared" si="10"/>
        <v>0</v>
      </c>
      <c r="H108" s="84">
        <f t="shared" si="2"/>
        <v>130000</v>
      </c>
      <c r="I108" s="84">
        <f>J108-0</f>
        <v>0</v>
      </c>
      <c r="J108" s="84">
        <v>0</v>
      </c>
      <c r="K108" s="56">
        <f t="shared" si="11"/>
        <v>0</v>
      </c>
      <c r="L108" s="87">
        <f t="shared" si="3"/>
        <v>130000</v>
      </c>
      <c r="M108" s="8"/>
    </row>
    <row r="109" spans="1:13" s="7" customFormat="1" ht="15">
      <c r="A109" s="52" t="s">
        <v>82</v>
      </c>
      <c r="B109" s="53" t="s">
        <v>84</v>
      </c>
      <c r="C109" s="84">
        <v>152952520</v>
      </c>
      <c r="D109" s="84">
        <v>151825520.47</v>
      </c>
      <c r="E109" s="84">
        <f>F109-14605869</f>
        <v>8009978.91</v>
      </c>
      <c r="F109" s="84">
        <v>22615847.91</v>
      </c>
      <c r="G109" s="56">
        <f t="shared" si="10"/>
        <v>0.06797720205142913</v>
      </c>
      <c r="H109" s="84">
        <f t="shared" si="2"/>
        <v>129209672.56</v>
      </c>
      <c r="I109" s="84">
        <f>J109-10309472</f>
        <v>6264661.6899999995</v>
      </c>
      <c r="J109" s="84">
        <v>16574133.69</v>
      </c>
      <c r="K109" s="56">
        <f t="shared" si="11"/>
        <v>0.05551340445187103</v>
      </c>
      <c r="L109" s="87">
        <f t="shared" si="3"/>
        <v>135251386.78</v>
      </c>
      <c r="M109" s="8"/>
    </row>
    <row r="110" spans="1:13" s="7" customFormat="1" ht="15">
      <c r="A110" s="52" t="s">
        <v>67</v>
      </c>
      <c r="B110" s="53" t="s">
        <v>75</v>
      </c>
      <c r="C110" s="84">
        <v>29886178</v>
      </c>
      <c r="D110" s="84">
        <v>29886178</v>
      </c>
      <c r="E110" s="84">
        <f>F110-1139802</f>
        <v>164272.3600000001</v>
      </c>
      <c r="F110" s="84">
        <v>1304074.36</v>
      </c>
      <c r="G110" s="56">
        <f t="shared" si="10"/>
        <v>0.003919699434333883</v>
      </c>
      <c r="H110" s="84">
        <f t="shared" si="2"/>
        <v>28582103.64</v>
      </c>
      <c r="I110" s="84">
        <f>J110-808265</f>
        <v>429786.8400000001</v>
      </c>
      <c r="J110" s="84">
        <v>1238051.84</v>
      </c>
      <c r="K110" s="56">
        <f t="shared" si="11"/>
        <v>0.00414673091286638</v>
      </c>
      <c r="L110" s="87">
        <f t="shared" si="3"/>
        <v>28648126.16</v>
      </c>
      <c r="M110" s="8"/>
    </row>
    <row r="111" spans="1:13" s="7" customFormat="1" ht="15">
      <c r="A111" s="52" t="s">
        <v>68</v>
      </c>
      <c r="B111" s="53" t="s">
        <v>76</v>
      </c>
      <c r="C111" s="84">
        <v>14121490</v>
      </c>
      <c r="D111" s="84">
        <v>14121490</v>
      </c>
      <c r="E111" s="84">
        <f>F111-4686089</f>
        <v>681417.0999999996</v>
      </c>
      <c r="F111" s="84">
        <v>5367506.1</v>
      </c>
      <c r="G111" s="56">
        <f aca="true" t="shared" si="12" ref="G111:G126">(F111/$F$258)*100</f>
        <v>0.01613329060771785</v>
      </c>
      <c r="H111" s="84">
        <f t="shared" si="2"/>
        <v>8753983.9</v>
      </c>
      <c r="I111" s="84">
        <f>J111-540216</f>
        <v>416610.9</v>
      </c>
      <c r="J111" s="84">
        <v>956826.9</v>
      </c>
      <c r="K111" s="56">
        <f t="shared" si="11"/>
        <v>0.0032047960806650135</v>
      </c>
      <c r="L111" s="87">
        <f t="shared" si="3"/>
        <v>13164663.1</v>
      </c>
      <c r="M111" s="8"/>
    </row>
    <row r="112" spans="1:13" s="7" customFormat="1" ht="15">
      <c r="A112" s="52" t="s">
        <v>238</v>
      </c>
      <c r="B112" s="53" t="s">
        <v>239</v>
      </c>
      <c r="C112" s="84">
        <v>2465500</v>
      </c>
      <c r="D112" s="84">
        <v>2465500</v>
      </c>
      <c r="E112" s="84">
        <f>F112-17540</f>
        <v>0</v>
      </c>
      <c r="F112" s="84">
        <v>17540</v>
      </c>
      <c r="G112" s="56">
        <f t="shared" si="12"/>
        <v>5.272055811159135E-05</v>
      </c>
      <c r="H112" s="84">
        <f t="shared" si="2"/>
        <v>2447960</v>
      </c>
      <c r="I112" s="84">
        <f>J112-0</f>
        <v>0</v>
      </c>
      <c r="J112" s="84">
        <v>0</v>
      </c>
      <c r="K112" s="56">
        <f t="shared" si="11"/>
        <v>0</v>
      </c>
      <c r="L112" s="87">
        <f t="shared" si="3"/>
        <v>2465500</v>
      </c>
      <c r="M112" s="8"/>
    </row>
    <row r="113" spans="1:13" s="7" customFormat="1" ht="15">
      <c r="A113" s="52" t="s">
        <v>111</v>
      </c>
      <c r="B113" s="53" t="s">
        <v>118</v>
      </c>
      <c r="C113" s="84">
        <v>997721894</v>
      </c>
      <c r="D113" s="84">
        <v>1008190555.31</v>
      </c>
      <c r="E113" s="84">
        <f>F113-241536681</f>
        <v>133463985.63</v>
      </c>
      <c r="F113" s="84">
        <v>375000666.63</v>
      </c>
      <c r="G113" s="56">
        <f t="shared" si="12"/>
        <v>1.1271519063256792</v>
      </c>
      <c r="H113" s="84">
        <f t="shared" si="2"/>
        <v>633189888.68</v>
      </c>
      <c r="I113" s="84">
        <f>J113-241536681</f>
        <v>133463985.63</v>
      </c>
      <c r="J113" s="84">
        <v>375000666.63</v>
      </c>
      <c r="K113" s="56">
        <f t="shared" si="11"/>
        <v>1.2560272570332118</v>
      </c>
      <c r="L113" s="87">
        <f t="shared" si="3"/>
        <v>633189888.68</v>
      </c>
      <c r="M113" s="8"/>
    </row>
    <row r="114" spans="1:13" s="7" customFormat="1" ht="15">
      <c r="A114" s="52" t="s">
        <v>112</v>
      </c>
      <c r="B114" s="53" t="s">
        <v>119</v>
      </c>
      <c r="C114" s="84">
        <v>2128775229</v>
      </c>
      <c r="D114" s="84">
        <v>2267799214.52</v>
      </c>
      <c r="E114" s="84">
        <f>F114-599954806</f>
        <v>279923463.26</v>
      </c>
      <c r="F114" s="84">
        <v>879878269.26</v>
      </c>
      <c r="G114" s="56">
        <f t="shared" si="12"/>
        <v>2.644679214689182</v>
      </c>
      <c r="H114" s="84">
        <f t="shared" si="2"/>
        <v>1387920945.26</v>
      </c>
      <c r="I114" s="84">
        <f>J114-598050900</f>
        <v>279923463.40999997</v>
      </c>
      <c r="J114" s="84">
        <v>877974363.41</v>
      </c>
      <c r="K114" s="56">
        <f t="shared" si="11"/>
        <v>2.9406873895170884</v>
      </c>
      <c r="L114" s="87">
        <f t="shared" si="3"/>
        <v>1389824851.1100001</v>
      </c>
      <c r="M114" s="8"/>
    </row>
    <row r="115" spans="1:13" s="7" customFormat="1" ht="15">
      <c r="A115" s="52" t="s">
        <v>113</v>
      </c>
      <c r="B115" s="53" t="s">
        <v>120</v>
      </c>
      <c r="C115" s="84">
        <v>198434785</v>
      </c>
      <c r="D115" s="84">
        <v>196319112.77</v>
      </c>
      <c r="E115" s="84">
        <f>F115-13263728</f>
        <v>13738514.77</v>
      </c>
      <c r="F115" s="84">
        <v>27002242.77</v>
      </c>
      <c r="G115" s="56">
        <f t="shared" si="12"/>
        <v>0.08116153415616206</v>
      </c>
      <c r="H115" s="84">
        <f t="shared" si="2"/>
        <v>169316870</v>
      </c>
      <c r="I115" s="84">
        <f>J115-4582529</f>
        <v>4868390.359999999</v>
      </c>
      <c r="J115" s="84">
        <v>9450919.36</v>
      </c>
      <c r="K115" s="56">
        <f t="shared" si="11"/>
        <v>0.03165490991485408</v>
      </c>
      <c r="L115" s="87">
        <f t="shared" si="3"/>
        <v>186868193.41000003</v>
      </c>
      <c r="M115" s="8"/>
    </row>
    <row r="116" spans="1:13" s="7" customFormat="1" ht="15">
      <c r="A116" s="52" t="s">
        <v>114</v>
      </c>
      <c r="B116" s="53" t="s">
        <v>121</v>
      </c>
      <c r="C116" s="84">
        <v>376411228</v>
      </c>
      <c r="D116" s="84">
        <v>383525914.16</v>
      </c>
      <c r="E116" s="84">
        <f>F116-55330748</f>
        <v>22425084.099999994</v>
      </c>
      <c r="F116" s="84">
        <v>77755832.1</v>
      </c>
      <c r="G116" s="56">
        <f t="shared" si="12"/>
        <v>0.2337132762111283</v>
      </c>
      <c r="H116" s="84">
        <f t="shared" si="2"/>
        <v>305770082.06000006</v>
      </c>
      <c r="I116" s="84">
        <f>J116-44638913</f>
        <v>21481850.840000004</v>
      </c>
      <c r="J116" s="84">
        <v>66120763.84</v>
      </c>
      <c r="K116" s="56">
        <f t="shared" si="11"/>
        <v>0.22146489067668246</v>
      </c>
      <c r="L116" s="87">
        <f t="shared" si="3"/>
        <v>317405150.32000005</v>
      </c>
      <c r="M116" s="8"/>
    </row>
    <row r="117" spans="1:13" s="7" customFormat="1" ht="15">
      <c r="A117" s="52" t="s">
        <v>115</v>
      </c>
      <c r="B117" s="53" t="s">
        <v>122</v>
      </c>
      <c r="C117" s="84">
        <v>17893064</v>
      </c>
      <c r="D117" s="84">
        <v>17893064</v>
      </c>
      <c r="E117" s="84">
        <f>F117-4871381</f>
        <v>1328373.1399999997</v>
      </c>
      <c r="F117" s="84">
        <v>6199754.14</v>
      </c>
      <c r="G117" s="56">
        <f t="shared" si="12"/>
        <v>0.018634806067015338</v>
      </c>
      <c r="H117" s="84">
        <f t="shared" si="2"/>
        <v>11693309.86</v>
      </c>
      <c r="I117" s="84">
        <f>J117-3441489</f>
        <v>233457.56000000006</v>
      </c>
      <c r="J117" s="84">
        <v>3674946.56</v>
      </c>
      <c r="K117" s="56">
        <f t="shared" si="11"/>
        <v>0.012308866245442487</v>
      </c>
      <c r="L117" s="87">
        <f t="shared" si="3"/>
        <v>14218117.44</v>
      </c>
      <c r="M117" s="8"/>
    </row>
    <row r="118" spans="1:13" s="7" customFormat="1" ht="15">
      <c r="A118" s="52" t="s">
        <v>116</v>
      </c>
      <c r="B118" s="53" t="s">
        <v>123</v>
      </c>
      <c r="C118" s="84">
        <v>35603773</v>
      </c>
      <c r="D118" s="84">
        <v>35603773</v>
      </c>
      <c r="E118" s="84">
        <f>F118-0</f>
        <v>4754.5</v>
      </c>
      <c r="F118" s="84">
        <v>4754.5</v>
      </c>
      <c r="G118" s="56">
        <f t="shared" si="12"/>
        <v>1.4290757898606677E-05</v>
      </c>
      <c r="H118" s="84">
        <f t="shared" si="2"/>
        <v>35599018.5</v>
      </c>
      <c r="I118" s="84">
        <f>J118-0</f>
        <v>4754.5</v>
      </c>
      <c r="J118" s="84">
        <v>4754.5</v>
      </c>
      <c r="K118" s="56">
        <f t="shared" si="11"/>
        <v>1.592472260711087E-05</v>
      </c>
      <c r="L118" s="87">
        <f t="shared" si="3"/>
        <v>35599018.5</v>
      </c>
      <c r="M118" s="8"/>
    </row>
    <row r="119" spans="1:13" s="7" customFormat="1" ht="15">
      <c r="A119" s="52" t="s">
        <v>251</v>
      </c>
      <c r="B119" s="53" t="s">
        <v>252</v>
      </c>
      <c r="C119" s="84">
        <v>1240620786</v>
      </c>
      <c r="D119" s="84">
        <v>1376276865.45</v>
      </c>
      <c r="E119" s="84">
        <f>F119-166659909</f>
        <v>69862411.69</v>
      </c>
      <c r="F119" s="84">
        <v>236522320.69</v>
      </c>
      <c r="G119" s="56">
        <f t="shared" si="12"/>
        <v>0.7109229619512879</v>
      </c>
      <c r="H119" s="84">
        <f t="shared" si="2"/>
        <v>1139754544.76</v>
      </c>
      <c r="I119" s="84">
        <f>J119-95017805</f>
        <v>79307721.94</v>
      </c>
      <c r="J119" s="84">
        <v>174325526.94</v>
      </c>
      <c r="K119" s="56">
        <f t="shared" si="11"/>
        <v>0.5838859311931711</v>
      </c>
      <c r="L119" s="87">
        <f t="shared" si="3"/>
        <v>1201951338.51</v>
      </c>
      <c r="M119" s="8"/>
    </row>
    <row r="120" spans="1:13" s="7" customFormat="1" ht="15">
      <c r="A120" s="52" t="s">
        <v>117</v>
      </c>
      <c r="B120" s="53" t="s">
        <v>124</v>
      </c>
      <c r="C120" s="84">
        <v>2313306</v>
      </c>
      <c r="D120" s="84">
        <v>2581179.5</v>
      </c>
      <c r="E120" s="84">
        <f>F120-50631</f>
        <v>0.27999999999883585</v>
      </c>
      <c r="F120" s="84">
        <v>50631.28</v>
      </c>
      <c r="G120" s="56">
        <f t="shared" si="12"/>
        <v>0.00015218411285657085</v>
      </c>
      <c r="H120" s="84">
        <f t="shared" si="2"/>
        <v>2530548.22</v>
      </c>
      <c r="I120" s="84">
        <f>J120-23672</f>
        <v>7411.8499999999985</v>
      </c>
      <c r="J120" s="84">
        <v>31083.85</v>
      </c>
      <c r="K120" s="56">
        <f t="shared" si="11"/>
        <v>0.00010411224919782166</v>
      </c>
      <c r="L120" s="87">
        <f t="shared" si="3"/>
        <v>2550095.65</v>
      </c>
      <c r="M120" s="8"/>
    </row>
    <row r="121" spans="1:13" s="7" customFormat="1" ht="15">
      <c r="A121" s="52" t="s">
        <v>97</v>
      </c>
      <c r="B121" s="53" t="s">
        <v>241</v>
      </c>
      <c r="C121" s="84">
        <v>134305000</v>
      </c>
      <c r="D121" s="84">
        <v>134305000</v>
      </c>
      <c r="E121" s="84">
        <f>F121-43183008</f>
        <v>21664224.46</v>
      </c>
      <c r="F121" s="84">
        <v>64847232.46</v>
      </c>
      <c r="G121" s="56">
        <f t="shared" si="12"/>
        <v>0.19491347133884285</v>
      </c>
      <c r="H121" s="84">
        <f>D121-F121</f>
        <v>69457767.53999999</v>
      </c>
      <c r="I121" s="84">
        <f>J121-43183008</f>
        <v>21664224.46</v>
      </c>
      <c r="J121" s="84">
        <v>64847232.46</v>
      </c>
      <c r="K121" s="56">
        <f t="shared" si="11"/>
        <v>0.2171993245902483</v>
      </c>
      <c r="L121" s="87">
        <f>D121-J121</f>
        <v>69457767.53999999</v>
      </c>
      <c r="M121" s="8"/>
    </row>
    <row r="122" spans="1:13" s="7" customFormat="1" ht="15">
      <c r="A122" s="47" t="s">
        <v>125</v>
      </c>
      <c r="B122" s="50" t="s">
        <v>126</v>
      </c>
      <c r="C122" s="83">
        <f>SUM(C123:C126)</f>
        <v>323376667</v>
      </c>
      <c r="D122" s="83">
        <f>SUM(D123:D126)</f>
        <v>381215375.96000004</v>
      </c>
      <c r="E122" s="83">
        <f>SUM(E123:E126)</f>
        <v>16931251.849999998</v>
      </c>
      <c r="F122" s="83">
        <f>SUM(F123:F126)</f>
        <v>43875010.849999994</v>
      </c>
      <c r="G122" s="51">
        <f t="shared" si="12"/>
        <v>0.13187657121802315</v>
      </c>
      <c r="H122" s="83">
        <f t="shared" si="2"/>
        <v>337340365.11</v>
      </c>
      <c r="I122" s="83">
        <f>SUM(I123:I126)</f>
        <v>13317323.819999997</v>
      </c>
      <c r="J122" s="83">
        <f>SUM(J123:J126)</f>
        <v>37933692.82</v>
      </c>
      <c r="K122" s="51">
        <f t="shared" si="11"/>
        <v>0.12705511318158652</v>
      </c>
      <c r="L122" s="86">
        <f t="shared" si="3"/>
        <v>343281683.14000005</v>
      </c>
      <c r="M122" s="8"/>
    </row>
    <row r="123" spans="1:13" s="7" customFormat="1" ht="15">
      <c r="A123" s="52" t="s">
        <v>28</v>
      </c>
      <c r="B123" s="53" t="s">
        <v>33</v>
      </c>
      <c r="C123" s="84">
        <v>155062825</v>
      </c>
      <c r="D123" s="84">
        <v>159620835</v>
      </c>
      <c r="E123" s="84">
        <f>F123-25397107</f>
        <v>10618510.759999998</v>
      </c>
      <c r="F123" s="84">
        <v>36015617.76</v>
      </c>
      <c r="G123" s="56">
        <f t="shared" si="12"/>
        <v>0.10825333346869677</v>
      </c>
      <c r="H123" s="84">
        <f t="shared" si="2"/>
        <v>123605217.24000001</v>
      </c>
      <c r="I123" s="84">
        <f>J123-23476675</f>
        <v>11563914.619999997</v>
      </c>
      <c r="J123" s="84">
        <v>35040589.62</v>
      </c>
      <c r="K123" s="56">
        <f t="shared" si="11"/>
        <v>0.1173649531366302</v>
      </c>
      <c r="L123" s="87">
        <f t="shared" si="3"/>
        <v>124580245.38</v>
      </c>
      <c r="M123" s="8"/>
    </row>
    <row r="124" spans="1:13" s="7" customFormat="1" ht="15">
      <c r="A124" s="52" t="s">
        <v>127</v>
      </c>
      <c r="B124" s="53" t="s">
        <v>128</v>
      </c>
      <c r="C124" s="84">
        <v>25662465</v>
      </c>
      <c r="D124" s="84">
        <v>25662465</v>
      </c>
      <c r="E124" s="84">
        <f>F124-0</f>
        <v>0</v>
      </c>
      <c r="F124" s="84">
        <v>0</v>
      </c>
      <c r="G124" s="56">
        <f t="shared" si="12"/>
        <v>0</v>
      </c>
      <c r="H124" s="84">
        <f t="shared" si="2"/>
        <v>25662465</v>
      </c>
      <c r="I124" s="84">
        <f>J124-0</f>
        <v>0</v>
      </c>
      <c r="J124" s="84">
        <v>0</v>
      </c>
      <c r="K124" s="56">
        <f t="shared" si="11"/>
        <v>0</v>
      </c>
      <c r="L124" s="87">
        <f t="shared" si="3"/>
        <v>25662465</v>
      </c>
      <c r="M124" s="8"/>
    </row>
    <row r="125" spans="1:13" s="7" customFormat="1" ht="15">
      <c r="A125" s="52" t="s">
        <v>117</v>
      </c>
      <c r="B125" s="53" t="s">
        <v>124</v>
      </c>
      <c r="C125" s="84">
        <v>136381575</v>
      </c>
      <c r="D125" s="84">
        <v>189662273.96</v>
      </c>
      <c r="E125" s="84">
        <f>F125-1326652</f>
        <v>6312741.09</v>
      </c>
      <c r="F125" s="84">
        <v>7639393.09</v>
      </c>
      <c r="G125" s="56">
        <f t="shared" si="12"/>
        <v>0.02296197647312625</v>
      </c>
      <c r="H125" s="84">
        <f t="shared" si="2"/>
        <v>182022880.87</v>
      </c>
      <c r="I125" s="84">
        <f>J125-1139694</f>
        <v>1753409.2000000002</v>
      </c>
      <c r="J125" s="84">
        <v>2893103.2</v>
      </c>
      <c r="K125" s="56">
        <f t="shared" si="11"/>
        <v>0.009690160044956313</v>
      </c>
      <c r="L125" s="87">
        <f>D125-J125</f>
        <v>186769170.76000002</v>
      </c>
      <c r="M125" s="8"/>
    </row>
    <row r="126" spans="1:13" s="7" customFormat="1" ht="15">
      <c r="A126" s="58" t="s">
        <v>185</v>
      </c>
      <c r="B126" s="59" t="s">
        <v>186</v>
      </c>
      <c r="C126" s="85">
        <v>6269802</v>
      </c>
      <c r="D126" s="85">
        <v>6269802</v>
      </c>
      <c r="E126" s="85">
        <f>F126-220000</f>
        <v>0</v>
      </c>
      <c r="F126" s="85">
        <v>220000</v>
      </c>
      <c r="G126" s="60">
        <f t="shared" si="12"/>
        <v>0.0006612612762001196</v>
      </c>
      <c r="H126" s="85">
        <f t="shared" si="2"/>
        <v>6049802</v>
      </c>
      <c r="I126" s="85">
        <f>J126-0</f>
        <v>0</v>
      </c>
      <c r="J126" s="85">
        <v>0</v>
      </c>
      <c r="K126" s="60">
        <f t="shared" si="11"/>
        <v>0</v>
      </c>
      <c r="L126" s="89">
        <f t="shared" si="3"/>
        <v>6269802</v>
      </c>
      <c r="M126" s="8"/>
    </row>
    <row r="127" spans="1:13" s="7" customFormat="1" ht="15">
      <c r="A127" s="61"/>
      <c r="B127" s="62"/>
      <c r="C127" s="63"/>
      <c r="D127" s="63"/>
      <c r="E127" s="63"/>
      <c r="F127" s="63"/>
      <c r="G127" s="64"/>
      <c r="H127" s="63"/>
      <c r="I127" s="63"/>
      <c r="J127" s="63"/>
      <c r="K127" s="64"/>
      <c r="L127" s="65" t="s">
        <v>228</v>
      </c>
      <c r="M127" s="8"/>
    </row>
    <row r="128" spans="1:13" s="7" customFormat="1" ht="13.5" customHeight="1">
      <c r="A128" s="31"/>
      <c r="B128" s="28"/>
      <c r="C128" s="32"/>
      <c r="D128" s="32"/>
      <c r="E128" s="32"/>
      <c r="F128" s="32"/>
      <c r="G128" s="33"/>
      <c r="H128" s="32"/>
      <c r="I128" s="32"/>
      <c r="J128" s="32"/>
      <c r="K128" s="33"/>
      <c r="L128" s="32"/>
      <c r="M128" s="8"/>
    </row>
    <row r="129" spans="1:13" s="7" customFormat="1" ht="15.75">
      <c r="A129" s="31"/>
      <c r="B129" s="28"/>
      <c r="C129" s="32"/>
      <c r="D129" s="32"/>
      <c r="E129" s="32"/>
      <c r="F129" s="32"/>
      <c r="G129" s="33"/>
      <c r="H129" s="32"/>
      <c r="I129" s="32"/>
      <c r="J129" s="32"/>
      <c r="K129" s="33"/>
      <c r="L129" s="32"/>
      <c r="M129" s="8"/>
    </row>
    <row r="130" spans="1:13" s="7" customFormat="1" ht="15.75">
      <c r="A130" s="31"/>
      <c r="B130" s="28"/>
      <c r="C130" s="32"/>
      <c r="D130" s="32"/>
      <c r="E130" s="32"/>
      <c r="F130" s="32"/>
      <c r="G130" s="33"/>
      <c r="H130" s="32"/>
      <c r="I130" s="32"/>
      <c r="J130" s="32"/>
      <c r="K130" s="33"/>
      <c r="L130" s="32"/>
      <c r="M130" s="8"/>
    </row>
    <row r="131" spans="1:13" s="7" customFormat="1" ht="17.25" customHeight="1">
      <c r="A131" s="31"/>
      <c r="B131" s="28"/>
      <c r="C131" s="32"/>
      <c r="D131" s="32"/>
      <c r="E131" s="32"/>
      <c r="F131" s="32"/>
      <c r="G131" s="33"/>
      <c r="H131" s="32"/>
      <c r="I131" s="32"/>
      <c r="J131" s="32"/>
      <c r="K131" s="33"/>
      <c r="L131" s="25" t="s">
        <v>157</v>
      </c>
      <c r="M131" s="8"/>
    </row>
    <row r="132" spans="1:13" s="7" customFormat="1" ht="15.75">
      <c r="A132" s="103" t="s">
        <v>14</v>
      </c>
      <c r="B132" s="103"/>
      <c r="C132" s="103"/>
      <c r="D132" s="103"/>
      <c r="E132" s="103"/>
      <c r="F132" s="103"/>
      <c r="G132" s="103"/>
      <c r="H132" s="103"/>
      <c r="I132" s="103"/>
      <c r="J132" s="103"/>
      <c r="K132" s="103"/>
      <c r="L132" s="103"/>
      <c r="M132" s="8"/>
    </row>
    <row r="133" spans="1:13" s="7" customFormat="1" ht="15.75">
      <c r="A133" s="103" t="s">
        <v>0</v>
      </c>
      <c r="B133" s="103"/>
      <c r="C133" s="103"/>
      <c r="D133" s="103"/>
      <c r="E133" s="103"/>
      <c r="F133" s="103"/>
      <c r="G133" s="103"/>
      <c r="H133" s="103"/>
      <c r="I133" s="103"/>
      <c r="J133" s="103"/>
      <c r="K133" s="103"/>
      <c r="L133" s="103"/>
      <c r="M133" s="8"/>
    </row>
    <row r="134" spans="1:13" s="7" customFormat="1" ht="15.75">
      <c r="A134" s="104" t="s">
        <v>1</v>
      </c>
      <c r="B134" s="104"/>
      <c r="C134" s="104"/>
      <c r="D134" s="104"/>
      <c r="E134" s="104"/>
      <c r="F134" s="104"/>
      <c r="G134" s="104"/>
      <c r="H134" s="104"/>
      <c r="I134" s="104"/>
      <c r="J134" s="104"/>
      <c r="K134" s="104"/>
      <c r="L134" s="104"/>
      <c r="M134" s="8"/>
    </row>
    <row r="135" spans="1:13" s="7" customFormat="1" ht="15.75">
      <c r="A135" s="103" t="s">
        <v>2</v>
      </c>
      <c r="B135" s="103"/>
      <c r="C135" s="103"/>
      <c r="D135" s="103"/>
      <c r="E135" s="103"/>
      <c r="F135" s="103"/>
      <c r="G135" s="103"/>
      <c r="H135" s="103"/>
      <c r="I135" s="103"/>
      <c r="J135" s="103"/>
      <c r="K135" s="103"/>
      <c r="L135" s="103"/>
      <c r="M135" s="8"/>
    </row>
    <row r="136" spans="1:13" s="7" customFormat="1" ht="15.75">
      <c r="A136" s="103" t="str">
        <f>A8</f>
        <v>JANEIRO A JUNHO 2020/BIMESTRE MAIO-JUNHO</v>
      </c>
      <c r="B136" s="103"/>
      <c r="C136" s="103"/>
      <c r="D136" s="103"/>
      <c r="E136" s="103"/>
      <c r="F136" s="103"/>
      <c r="G136" s="103"/>
      <c r="H136" s="103"/>
      <c r="I136" s="103"/>
      <c r="J136" s="103"/>
      <c r="K136" s="103"/>
      <c r="L136" s="103"/>
      <c r="M136" s="8"/>
    </row>
    <row r="137" spans="1:13" s="7" customFormat="1" ht="15.75">
      <c r="A137" s="24"/>
      <c r="B137" s="24"/>
      <c r="C137" s="24"/>
      <c r="D137" s="24"/>
      <c r="E137" s="24"/>
      <c r="F137" s="24"/>
      <c r="G137" s="24"/>
      <c r="H137" s="24"/>
      <c r="I137" s="24"/>
      <c r="J137" s="24"/>
      <c r="K137" s="24"/>
      <c r="L137" s="25" t="str">
        <f>L9</f>
        <v>Emissão: 20/07/2020</v>
      </c>
      <c r="M137" s="8"/>
    </row>
    <row r="138" spans="1:13" s="7" customFormat="1" ht="15.75">
      <c r="A138" s="27" t="s">
        <v>240</v>
      </c>
      <c r="B138" s="26"/>
      <c r="C138" s="28"/>
      <c r="D138" s="26"/>
      <c r="E138" s="26"/>
      <c r="F138" s="29"/>
      <c r="G138" s="29"/>
      <c r="H138" s="29"/>
      <c r="I138" s="26"/>
      <c r="J138" s="26"/>
      <c r="K138" s="25"/>
      <c r="L138" s="30">
        <v>1</v>
      </c>
      <c r="M138" s="8"/>
    </row>
    <row r="139" spans="1:13" s="7" customFormat="1" ht="13.5" customHeight="1">
      <c r="A139" s="11"/>
      <c r="B139" s="12"/>
      <c r="C139" s="13" t="s">
        <v>3</v>
      </c>
      <c r="D139" s="13" t="s">
        <v>3</v>
      </c>
      <c r="E139" s="105" t="s">
        <v>4</v>
      </c>
      <c r="F139" s="106"/>
      <c r="G139" s="107"/>
      <c r="H139" s="13" t="s">
        <v>18</v>
      </c>
      <c r="I139" s="105" t="s">
        <v>5</v>
      </c>
      <c r="J139" s="106"/>
      <c r="K139" s="107"/>
      <c r="L139" s="14" t="s">
        <v>18</v>
      </c>
      <c r="M139" s="8"/>
    </row>
    <row r="140" spans="1:13" s="7" customFormat="1" ht="14.25" customHeight="1">
      <c r="A140" s="15" t="s">
        <v>23</v>
      </c>
      <c r="B140" s="16" t="s">
        <v>6</v>
      </c>
      <c r="C140" s="16" t="s">
        <v>7</v>
      </c>
      <c r="D140" s="16" t="s">
        <v>8</v>
      </c>
      <c r="E140" s="16" t="s">
        <v>9</v>
      </c>
      <c r="F140" s="16" t="s">
        <v>10</v>
      </c>
      <c r="G140" s="16" t="s">
        <v>11</v>
      </c>
      <c r="H140" s="17"/>
      <c r="I140" s="16" t="s">
        <v>9</v>
      </c>
      <c r="J140" s="16" t="s">
        <v>10</v>
      </c>
      <c r="K140" s="16" t="s">
        <v>11</v>
      </c>
      <c r="L140" s="18"/>
      <c r="M140" s="8"/>
    </row>
    <row r="141" spans="1:13" s="7" customFormat="1" ht="13.5" customHeight="1">
      <c r="A141" s="19"/>
      <c r="B141" s="20"/>
      <c r="C141" s="20"/>
      <c r="D141" s="21" t="s">
        <v>12</v>
      </c>
      <c r="E141" s="21"/>
      <c r="F141" s="21" t="s">
        <v>13</v>
      </c>
      <c r="G141" s="21" t="s">
        <v>17</v>
      </c>
      <c r="H141" s="22" t="s">
        <v>19</v>
      </c>
      <c r="I141" s="21"/>
      <c r="J141" s="21" t="s">
        <v>20</v>
      </c>
      <c r="K141" s="21" t="s">
        <v>21</v>
      </c>
      <c r="L141" s="23" t="s">
        <v>22</v>
      </c>
      <c r="M141" s="8"/>
    </row>
    <row r="142" spans="1:13" s="7" customFormat="1" ht="15">
      <c r="A142" s="47" t="s">
        <v>129</v>
      </c>
      <c r="B142" s="50" t="s">
        <v>130</v>
      </c>
      <c r="C142" s="83">
        <f>SUM(C143:C149)</f>
        <v>198531068</v>
      </c>
      <c r="D142" s="83">
        <f>SUM(D143:D149)</f>
        <v>227262036.89</v>
      </c>
      <c r="E142" s="83">
        <f>SUM(E143:E149)</f>
        <v>28489004.94</v>
      </c>
      <c r="F142" s="83">
        <f>SUM(F143:F149)</f>
        <v>93256688.94000001</v>
      </c>
      <c r="G142" s="51">
        <f aca="true" t="shared" si="13" ref="G142:G149">(F142/$F$258)*100</f>
        <v>0.2803047142848272</v>
      </c>
      <c r="H142" s="83">
        <f aca="true" t="shared" si="14" ref="H142:H149">D142-F142</f>
        <v>134005347.94999997</v>
      </c>
      <c r="I142" s="83">
        <f>SUM(I143:I149)</f>
        <v>28510444.359999996</v>
      </c>
      <c r="J142" s="83">
        <f>SUM(J143:J149)</f>
        <v>90191760.36</v>
      </c>
      <c r="K142" s="51">
        <f aca="true" t="shared" si="15" ref="K142:K149">(J142/$J$258)*100</f>
        <v>0.3020882879756058</v>
      </c>
      <c r="L142" s="86">
        <f aca="true" t="shared" si="16" ref="L142:L149">D142-J142</f>
        <v>137070276.52999997</v>
      </c>
      <c r="M142" s="8"/>
    </row>
    <row r="143" spans="1:13" s="7" customFormat="1" ht="15">
      <c r="A143" s="52" t="s">
        <v>28</v>
      </c>
      <c r="B143" s="53" t="s">
        <v>33</v>
      </c>
      <c r="C143" s="84">
        <v>52057844</v>
      </c>
      <c r="D143" s="84">
        <v>54214568.89</v>
      </c>
      <c r="E143" s="84">
        <f>F143-13362656</f>
        <v>6241437.59</v>
      </c>
      <c r="F143" s="84">
        <v>19604093.59</v>
      </c>
      <c r="G143" s="56">
        <f t="shared" si="13"/>
        <v>0.058924672482136294</v>
      </c>
      <c r="H143" s="84">
        <f t="shared" si="14"/>
        <v>34610475.3</v>
      </c>
      <c r="I143" s="84">
        <f>J143-12428310</f>
        <v>6452726.300000001</v>
      </c>
      <c r="J143" s="84">
        <v>18881036.3</v>
      </c>
      <c r="K143" s="56">
        <f t="shared" si="15"/>
        <v>0.06324014420281647</v>
      </c>
      <c r="L143" s="87">
        <f t="shared" si="16"/>
        <v>35333532.59</v>
      </c>
      <c r="M143" s="8"/>
    </row>
    <row r="144" spans="1:13" s="7" customFormat="1" ht="15">
      <c r="A144" s="52" t="s">
        <v>49</v>
      </c>
      <c r="B144" s="53" t="s">
        <v>56</v>
      </c>
      <c r="C144" s="84">
        <v>114375503</v>
      </c>
      <c r="D144" s="84">
        <v>136835497</v>
      </c>
      <c r="E144" s="84">
        <f>F144-50609726</f>
        <v>21625734.450000003</v>
      </c>
      <c r="F144" s="84">
        <v>72235460.45</v>
      </c>
      <c r="G144" s="56">
        <f t="shared" si="13"/>
        <v>0.21712051256395576</v>
      </c>
      <c r="H144" s="84">
        <f t="shared" si="14"/>
        <v>64600036.55</v>
      </c>
      <c r="I144" s="84">
        <f>J144-48457704</f>
        <v>21435885.159999996</v>
      </c>
      <c r="J144" s="84">
        <v>69893589.16</v>
      </c>
      <c r="K144" s="56">
        <f t="shared" si="15"/>
        <v>0.23410159204719128</v>
      </c>
      <c r="L144" s="87">
        <f t="shared" si="16"/>
        <v>66941907.84</v>
      </c>
      <c r="M144" s="8"/>
    </row>
    <row r="145" spans="1:13" s="7" customFormat="1" ht="15">
      <c r="A145" s="52" t="s">
        <v>52</v>
      </c>
      <c r="B145" s="53" t="s">
        <v>59</v>
      </c>
      <c r="C145" s="84">
        <v>823576</v>
      </c>
      <c r="D145" s="84">
        <v>823576</v>
      </c>
      <c r="E145" s="84">
        <f>F145-0</f>
        <v>0</v>
      </c>
      <c r="F145" s="84">
        <v>0</v>
      </c>
      <c r="G145" s="56">
        <f t="shared" si="13"/>
        <v>0</v>
      </c>
      <c r="H145" s="84">
        <f t="shared" si="14"/>
        <v>823576</v>
      </c>
      <c r="I145" s="84">
        <f>J145-0</f>
        <v>0</v>
      </c>
      <c r="J145" s="84">
        <v>0</v>
      </c>
      <c r="K145" s="56">
        <f t="shared" si="15"/>
        <v>0</v>
      </c>
      <c r="L145" s="87">
        <f t="shared" si="16"/>
        <v>823576</v>
      </c>
      <c r="M145" s="8"/>
    </row>
    <row r="146" spans="1:13" s="7" customFormat="1" ht="15">
      <c r="A146" s="52" t="s">
        <v>131</v>
      </c>
      <c r="B146" s="53" t="s">
        <v>132</v>
      </c>
      <c r="C146" s="84">
        <v>303799</v>
      </c>
      <c r="D146" s="84">
        <v>303799</v>
      </c>
      <c r="E146" s="84">
        <f>F146-0</f>
        <v>0</v>
      </c>
      <c r="F146" s="84">
        <v>0</v>
      </c>
      <c r="G146" s="56">
        <f t="shared" si="13"/>
        <v>0</v>
      </c>
      <c r="H146" s="84">
        <f t="shared" si="14"/>
        <v>303799</v>
      </c>
      <c r="I146" s="84">
        <f>J146-0</f>
        <v>0</v>
      </c>
      <c r="J146" s="84">
        <v>0</v>
      </c>
      <c r="K146" s="56">
        <f t="shared" si="15"/>
        <v>0</v>
      </c>
      <c r="L146" s="87">
        <f t="shared" si="16"/>
        <v>303799</v>
      </c>
      <c r="M146" s="8"/>
    </row>
    <row r="147" spans="1:13" s="7" customFormat="1" ht="15">
      <c r="A147" s="52" t="s">
        <v>251</v>
      </c>
      <c r="B147" s="53" t="s">
        <v>252</v>
      </c>
      <c r="C147" s="84">
        <v>0</v>
      </c>
      <c r="D147" s="84">
        <v>0</v>
      </c>
      <c r="E147" s="84">
        <f>F147-0</f>
        <v>0</v>
      </c>
      <c r="F147" s="84">
        <v>0</v>
      </c>
      <c r="G147" s="56">
        <f t="shared" si="13"/>
        <v>0</v>
      </c>
      <c r="H147" s="84">
        <f t="shared" si="14"/>
        <v>0</v>
      </c>
      <c r="I147" s="84">
        <f>J147-0</f>
        <v>0</v>
      </c>
      <c r="J147" s="84">
        <v>0</v>
      </c>
      <c r="K147" s="56">
        <f t="shared" si="15"/>
        <v>0</v>
      </c>
      <c r="L147" s="87">
        <f t="shared" si="16"/>
        <v>0</v>
      </c>
      <c r="M147" s="8"/>
    </row>
    <row r="148" spans="1:13" s="7" customFormat="1" ht="15">
      <c r="A148" s="52" t="s">
        <v>127</v>
      </c>
      <c r="B148" s="53" t="s">
        <v>273</v>
      </c>
      <c r="C148" s="84">
        <v>5000</v>
      </c>
      <c r="D148" s="84">
        <v>5000</v>
      </c>
      <c r="E148" s="84">
        <f>F148-0</f>
        <v>0</v>
      </c>
      <c r="F148" s="84">
        <v>0</v>
      </c>
      <c r="G148" s="56">
        <f t="shared" si="13"/>
        <v>0</v>
      </c>
      <c r="H148" s="84">
        <f t="shared" si="14"/>
        <v>5000</v>
      </c>
      <c r="I148" s="84">
        <f>J148-0</f>
        <v>0</v>
      </c>
      <c r="J148" s="84">
        <v>0</v>
      </c>
      <c r="K148" s="56">
        <f t="shared" si="15"/>
        <v>0</v>
      </c>
      <c r="L148" s="87">
        <f t="shared" si="16"/>
        <v>5000</v>
      </c>
      <c r="M148" s="8"/>
    </row>
    <row r="149" spans="1:13" s="7" customFormat="1" ht="15">
      <c r="A149" s="61" t="s">
        <v>53</v>
      </c>
      <c r="B149" s="66" t="s">
        <v>60</v>
      </c>
      <c r="C149" s="87">
        <v>30965346</v>
      </c>
      <c r="D149" s="87">
        <v>35079596</v>
      </c>
      <c r="E149" s="87">
        <f>F149-795302</f>
        <v>621832.8999999999</v>
      </c>
      <c r="F149" s="87">
        <v>1417134.9</v>
      </c>
      <c r="G149" s="67">
        <f t="shared" si="13"/>
        <v>0.004259529238735131</v>
      </c>
      <c r="H149" s="87">
        <f t="shared" si="14"/>
        <v>33662461.1</v>
      </c>
      <c r="I149" s="87">
        <f>J149-795302</f>
        <v>621832.8999999999</v>
      </c>
      <c r="J149" s="87">
        <v>1417134.9</v>
      </c>
      <c r="K149" s="67">
        <f t="shared" si="15"/>
        <v>0.0047465517255980225</v>
      </c>
      <c r="L149" s="87">
        <f t="shared" si="16"/>
        <v>33662461.1</v>
      </c>
      <c r="M149" s="8"/>
    </row>
    <row r="150" spans="1:13" s="7" customFormat="1" ht="15">
      <c r="A150" s="47" t="s">
        <v>133</v>
      </c>
      <c r="B150" s="50" t="s">
        <v>134</v>
      </c>
      <c r="C150" s="83">
        <f>SUM(C151:C153)</f>
        <v>440859715</v>
      </c>
      <c r="D150" s="83">
        <f>SUM(D151:D153)</f>
        <v>440909715</v>
      </c>
      <c r="E150" s="83">
        <f>SUM(E151:E152)</f>
        <v>4475021.579999999</v>
      </c>
      <c r="F150" s="83">
        <f>SUM(F151:F152)</f>
        <v>17570818.58</v>
      </c>
      <c r="G150" s="51">
        <f aca="true" t="shared" si="17" ref="G150:G181">(F150/$F$258)*100</f>
        <v>0.05281319053677988</v>
      </c>
      <c r="H150" s="83">
        <f aca="true" t="shared" si="18" ref="H150:H167">D150-F150</f>
        <v>423338896.42</v>
      </c>
      <c r="I150" s="83">
        <f>SUM(I151:I152)</f>
        <v>4510778.850000001</v>
      </c>
      <c r="J150" s="83">
        <f>SUM(J151:J152)</f>
        <v>17189619.85</v>
      </c>
      <c r="K150" s="51">
        <f aca="true" t="shared" si="19" ref="K150:K181">(J150/$J$258)*100</f>
        <v>0.057574913835931586</v>
      </c>
      <c r="L150" s="86">
        <f aca="true" t="shared" si="20" ref="L150:L167">D150-J150</f>
        <v>423720095.15</v>
      </c>
      <c r="M150" s="8"/>
    </row>
    <row r="151" spans="1:13" s="7" customFormat="1" ht="15">
      <c r="A151" s="52" t="s">
        <v>28</v>
      </c>
      <c r="B151" s="53" t="s">
        <v>33</v>
      </c>
      <c r="C151" s="84">
        <v>44369716</v>
      </c>
      <c r="D151" s="84">
        <v>44369716</v>
      </c>
      <c r="E151" s="84">
        <f>F151-9812545</f>
        <v>4475021.949999999</v>
      </c>
      <c r="F151" s="84">
        <v>14287566.95</v>
      </c>
      <c r="G151" s="56">
        <f t="shared" si="17"/>
        <v>0.042944612523416595</v>
      </c>
      <c r="H151" s="84">
        <f t="shared" si="18"/>
        <v>30082149.05</v>
      </c>
      <c r="I151" s="84">
        <f>J151-9395589</f>
        <v>4510779.220000001</v>
      </c>
      <c r="J151" s="84">
        <v>13906368.22</v>
      </c>
      <c r="K151" s="56">
        <f t="shared" si="19"/>
        <v>0.046577990614332127</v>
      </c>
      <c r="L151" s="87">
        <f t="shared" si="20"/>
        <v>30463347.78</v>
      </c>
      <c r="M151" s="8"/>
    </row>
    <row r="152" spans="1:13" s="7" customFormat="1" ht="15">
      <c r="A152" s="52" t="s">
        <v>135</v>
      </c>
      <c r="B152" s="53" t="s">
        <v>136</v>
      </c>
      <c r="C152" s="84">
        <v>396489999</v>
      </c>
      <c r="D152" s="84">
        <v>396539999</v>
      </c>
      <c r="E152" s="84">
        <f>F152-3283252</f>
        <v>-0.3700000001117587</v>
      </c>
      <c r="F152" s="90">
        <v>3283251.63</v>
      </c>
      <c r="G152" s="56">
        <f t="shared" si="17"/>
        <v>0.009868578013363286</v>
      </c>
      <c r="H152" s="84">
        <f t="shared" si="18"/>
        <v>393256747.37</v>
      </c>
      <c r="I152" s="84">
        <f>J152-3283252</f>
        <v>-0.3700000001117587</v>
      </c>
      <c r="J152" s="84">
        <v>3283251.63</v>
      </c>
      <c r="K152" s="56">
        <f t="shared" si="19"/>
        <v>0.010996923221599453</v>
      </c>
      <c r="L152" s="87">
        <f t="shared" si="20"/>
        <v>393256747.37</v>
      </c>
      <c r="M152" s="8"/>
    </row>
    <row r="153" spans="1:15" s="7" customFormat="1" ht="15">
      <c r="A153" s="52" t="s">
        <v>264</v>
      </c>
      <c r="B153" s="53" t="s">
        <v>265</v>
      </c>
      <c r="C153" s="84">
        <v>0</v>
      </c>
      <c r="D153" s="84">
        <v>0</v>
      </c>
      <c r="E153" s="84">
        <f>F153-0</f>
        <v>0</v>
      </c>
      <c r="F153" s="84">
        <v>0</v>
      </c>
      <c r="G153" s="56">
        <f t="shared" si="17"/>
        <v>0</v>
      </c>
      <c r="H153" s="84">
        <f t="shared" si="18"/>
        <v>0</v>
      </c>
      <c r="I153" s="84">
        <f>J153-0</f>
        <v>0</v>
      </c>
      <c r="J153" s="84"/>
      <c r="K153" s="56">
        <f t="shared" si="19"/>
        <v>0</v>
      </c>
      <c r="L153" s="87">
        <f t="shared" si="20"/>
        <v>0</v>
      </c>
      <c r="M153" s="102"/>
      <c r="N153" s="102"/>
      <c r="O153" s="102"/>
    </row>
    <row r="154" spans="1:13" s="7" customFormat="1" ht="15">
      <c r="A154" s="47" t="s">
        <v>138</v>
      </c>
      <c r="B154" s="50" t="s">
        <v>137</v>
      </c>
      <c r="C154" s="83">
        <f>SUM(C155:C159)</f>
        <v>240260692</v>
      </c>
      <c r="D154" s="83">
        <f>SUM(D155:D159)</f>
        <v>227815042</v>
      </c>
      <c r="E154" s="83">
        <f>SUM(E155:E159)</f>
        <v>13246845.81</v>
      </c>
      <c r="F154" s="83">
        <f>SUM(F155:F159)</f>
        <v>59019472.81</v>
      </c>
      <c r="G154" s="51">
        <f t="shared" si="17"/>
        <v>0.1773967814136312</v>
      </c>
      <c r="H154" s="83">
        <f t="shared" si="18"/>
        <v>168795569.19</v>
      </c>
      <c r="I154" s="83">
        <f>SUM(I155:I159)</f>
        <v>13352035.870000001</v>
      </c>
      <c r="J154" s="83">
        <f>SUM(J155:J159)</f>
        <v>36273084.870000005</v>
      </c>
      <c r="K154" s="51">
        <f t="shared" si="19"/>
        <v>0.12149307280659169</v>
      </c>
      <c r="L154" s="86">
        <f t="shared" si="20"/>
        <v>191541957.13</v>
      </c>
      <c r="M154" s="8"/>
    </row>
    <row r="155" spans="1:13" s="7" customFormat="1" ht="15">
      <c r="A155" s="52" t="s">
        <v>28</v>
      </c>
      <c r="B155" s="53" t="s">
        <v>33</v>
      </c>
      <c r="C155" s="84">
        <v>60679469</v>
      </c>
      <c r="D155" s="84">
        <v>60665069</v>
      </c>
      <c r="E155" s="84">
        <f>F155-19188815</f>
        <v>9246846.079999998</v>
      </c>
      <c r="F155" s="84">
        <v>28435661.08</v>
      </c>
      <c r="G155" s="56">
        <f t="shared" si="17"/>
        <v>0.08547000697888578</v>
      </c>
      <c r="H155" s="84">
        <f t="shared" si="18"/>
        <v>32229407.92</v>
      </c>
      <c r="I155" s="84">
        <f>J155-19167723</f>
        <v>8916057.690000001</v>
      </c>
      <c r="J155" s="84">
        <v>28083780.69</v>
      </c>
      <c r="K155" s="56">
        <f t="shared" si="19"/>
        <v>0.09406381685712202</v>
      </c>
      <c r="L155" s="87">
        <f t="shared" si="20"/>
        <v>32581288.31</v>
      </c>
      <c r="M155" s="8"/>
    </row>
    <row r="156" spans="1:13" s="7" customFormat="1" ht="15">
      <c r="A156" s="52" t="s">
        <v>50</v>
      </c>
      <c r="B156" s="53" t="s">
        <v>57</v>
      </c>
      <c r="C156" s="84">
        <v>2402000</v>
      </c>
      <c r="D156" s="84">
        <v>2402000</v>
      </c>
      <c r="E156" s="84">
        <f>F156-0</f>
        <v>0</v>
      </c>
      <c r="F156" s="84">
        <v>0</v>
      </c>
      <c r="G156" s="56">
        <f t="shared" si="17"/>
        <v>0</v>
      </c>
      <c r="H156" s="84">
        <f t="shared" si="18"/>
        <v>2402000</v>
      </c>
      <c r="I156" s="84">
        <f>J156-0</f>
        <v>0</v>
      </c>
      <c r="J156" s="84">
        <v>0</v>
      </c>
      <c r="K156" s="56">
        <f t="shared" si="19"/>
        <v>0</v>
      </c>
      <c r="L156" s="87">
        <f t="shared" si="20"/>
        <v>2402000</v>
      </c>
      <c r="M156" s="8"/>
    </row>
    <row r="157" spans="1:13" s="7" customFormat="1" ht="15">
      <c r="A157" s="52" t="s">
        <v>67</v>
      </c>
      <c r="B157" s="53" t="s">
        <v>75</v>
      </c>
      <c r="C157" s="84">
        <v>0</v>
      </c>
      <c r="D157" s="84">
        <v>0</v>
      </c>
      <c r="E157" s="84">
        <f>F157-0</f>
        <v>0</v>
      </c>
      <c r="F157" s="84">
        <v>0</v>
      </c>
      <c r="G157" s="56">
        <f t="shared" si="17"/>
        <v>0</v>
      </c>
      <c r="H157" s="84">
        <f t="shared" si="18"/>
        <v>0</v>
      </c>
      <c r="I157" s="84">
        <f>J157-0</f>
        <v>0</v>
      </c>
      <c r="J157" s="84">
        <v>0</v>
      </c>
      <c r="K157" s="56">
        <f t="shared" si="19"/>
        <v>0</v>
      </c>
      <c r="L157" s="87">
        <f t="shared" si="20"/>
        <v>0</v>
      </c>
      <c r="M157" s="8"/>
    </row>
    <row r="158" spans="1:13" s="7" customFormat="1" ht="15">
      <c r="A158" s="52" t="s">
        <v>135</v>
      </c>
      <c r="B158" s="53" t="s">
        <v>136</v>
      </c>
      <c r="C158" s="84">
        <v>71788456</v>
      </c>
      <c r="D158" s="84">
        <v>71788456</v>
      </c>
      <c r="E158" s="84">
        <f>F158-6863882</f>
        <v>2999999.880000001</v>
      </c>
      <c r="F158" s="84">
        <v>9863881.88</v>
      </c>
      <c r="G158" s="56">
        <f t="shared" si="17"/>
        <v>0.029648196001163796</v>
      </c>
      <c r="H158" s="84">
        <f t="shared" si="18"/>
        <v>61924574.12</v>
      </c>
      <c r="I158" s="84">
        <f>J158-0</f>
        <v>500190.42</v>
      </c>
      <c r="J158" s="84">
        <v>500190.42</v>
      </c>
      <c r="K158" s="56">
        <f t="shared" si="19"/>
        <v>0.0016753378250571626</v>
      </c>
      <c r="L158" s="87">
        <f t="shared" si="20"/>
        <v>71288265.58</v>
      </c>
      <c r="M158" s="8"/>
    </row>
    <row r="159" spans="1:13" s="7" customFormat="1" ht="15">
      <c r="A159" s="52" t="s">
        <v>139</v>
      </c>
      <c r="B159" s="53" t="s">
        <v>140</v>
      </c>
      <c r="C159" s="84">
        <v>105390767</v>
      </c>
      <c r="D159" s="84">
        <v>92959517</v>
      </c>
      <c r="E159" s="84">
        <f>F159-19719930</f>
        <v>999999.8500000015</v>
      </c>
      <c r="F159" s="84">
        <v>20719929.85</v>
      </c>
      <c r="G159" s="56">
        <f t="shared" si="17"/>
        <v>0.06227857843358161</v>
      </c>
      <c r="H159" s="84">
        <f t="shared" si="18"/>
        <v>72239587.15</v>
      </c>
      <c r="I159" s="84">
        <f>J159-3753326</f>
        <v>3935787.76</v>
      </c>
      <c r="J159" s="84">
        <v>7689113.76</v>
      </c>
      <c r="K159" s="56">
        <f t="shared" si="19"/>
        <v>0.025753918124412502</v>
      </c>
      <c r="L159" s="87">
        <f t="shared" si="20"/>
        <v>85270403.24</v>
      </c>
      <c r="M159" s="8"/>
    </row>
    <row r="160" spans="1:13" s="7" customFormat="1" ht="15">
      <c r="A160" s="47" t="s">
        <v>141</v>
      </c>
      <c r="B160" s="50" t="s">
        <v>142</v>
      </c>
      <c r="C160" s="83">
        <f>SUM(C161:C163)</f>
        <v>652651527</v>
      </c>
      <c r="D160" s="83">
        <f>SUM(D161:D163)</f>
        <v>728900848.9</v>
      </c>
      <c r="E160" s="83">
        <f>SUM(E161:E163)</f>
        <v>29397193.93</v>
      </c>
      <c r="F160" s="83">
        <f>SUM(F161:F163)</f>
        <v>65590312.93</v>
      </c>
      <c r="G160" s="51">
        <f t="shared" si="17"/>
        <v>0.1971469728838955</v>
      </c>
      <c r="H160" s="83">
        <f t="shared" si="18"/>
        <v>663310535.97</v>
      </c>
      <c r="I160" s="83">
        <f>SUM(I162:I163)</f>
        <v>12689893.829999998</v>
      </c>
      <c r="J160" s="83">
        <f>SUM(J162:J163)</f>
        <v>23756814.83</v>
      </c>
      <c r="K160" s="51">
        <f t="shared" si="19"/>
        <v>0.07957107712614316</v>
      </c>
      <c r="L160" s="86">
        <f t="shared" si="20"/>
        <v>705144034.0699999</v>
      </c>
      <c r="M160" s="8"/>
    </row>
    <row r="161" spans="1:13" s="7" customFormat="1" ht="15">
      <c r="A161" s="52" t="s">
        <v>51</v>
      </c>
      <c r="B161" s="53" t="s">
        <v>58</v>
      </c>
      <c r="C161" s="84">
        <v>5000</v>
      </c>
      <c r="D161" s="84">
        <v>5000</v>
      </c>
      <c r="E161" s="83">
        <f>F161-0</f>
        <v>0</v>
      </c>
      <c r="F161" s="83">
        <v>0</v>
      </c>
      <c r="G161" s="51">
        <f t="shared" si="17"/>
        <v>0</v>
      </c>
      <c r="H161" s="84">
        <f t="shared" si="18"/>
        <v>5000</v>
      </c>
      <c r="I161" s="83">
        <f>J161-0</f>
        <v>0</v>
      </c>
      <c r="J161" s="83">
        <v>0</v>
      </c>
      <c r="K161" s="51">
        <f t="shared" si="19"/>
        <v>0</v>
      </c>
      <c r="L161" s="87">
        <f t="shared" si="20"/>
        <v>5000</v>
      </c>
      <c r="M161" s="8"/>
    </row>
    <row r="162" spans="1:13" s="7" customFormat="1" ht="15">
      <c r="A162" s="52" t="s">
        <v>143</v>
      </c>
      <c r="B162" s="53" t="s">
        <v>144</v>
      </c>
      <c r="C162" s="84">
        <v>652646527</v>
      </c>
      <c r="D162" s="84">
        <v>728895848.9</v>
      </c>
      <c r="E162" s="84">
        <f>F162-36193119</f>
        <v>29397193.93</v>
      </c>
      <c r="F162" s="84">
        <v>65590312.93</v>
      </c>
      <c r="G162" s="56">
        <f t="shared" si="17"/>
        <v>0.1971469728838955</v>
      </c>
      <c r="H162" s="84">
        <f t="shared" si="18"/>
        <v>663305535.97</v>
      </c>
      <c r="I162" s="84">
        <f>J162-11066921</f>
        <v>12689893.829999998</v>
      </c>
      <c r="J162" s="84">
        <v>23756814.83</v>
      </c>
      <c r="K162" s="56">
        <f t="shared" si="19"/>
        <v>0.07957107712614316</v>
      </c>
      <c r="L162" s="87">
        <f t="shared" si="20"/>
        <v>705139034.0699999</v>
      </c>
      <c r="M162" s="8"/>
    </row>
    <row r="163" spans="1:15" s="7" customFormat="1" ht="15">
      <c r="A163" s="52" t="s">
        <v>147</v>
      </c>
      <c r="B163" s="53" t="s">
        <v>148</v>
      </c>
      <c r="C163" s="84">
        <v>0</v>
      </c>
      <c r="D163" s="84">
        <v>0</v>
      </c>
      <c r="E163" s="84">
        <f>F163-0</f>
        <v>0</v>
      </c>
      <c r="F163" s="84">
        <v>0</v>
      </c>
      <c r="G163" s="56">
        <f t="shared" si="17"/>
        <v>0</v>
      </c>
      <c r="H163" s="84">
        <f t="shared" si="18"/>
        <v>0</v>
      </c>
      <c r="I163" s="84">
        <f>J163-0</f>
        <v>0</v>
      </c>
      <c r="J163" s="84">
        <v>0</v>
      </c>
      <c r="K163" s="56">
        <f t="shared" si="19"/>
        <v>0</v>
      </c>
      <c r="L163" s="87">
        <f t="shared" si="20"/>
        <v>0</v>
      </c>
      <c r="M163" s="8"/>
      <c r="O163" s="9"/>
    </row>
    <row r="164" spans="1:15" s="7" customFormat="1" ht="15">
      <c r="A164" s="47" t="s">
        <v>149</v>
      </c>
      <c r="B164" s="50" t="s">
        <v>150</v>
      </c>
      <c r="C164" s="83">
        <f>SUM(C165:C174)</f>
        <v>1253565452</v>
      </c>
      <c r="D164" s="83">
        <f>SUM(D165:D174)</f>
        <v>1403101406.69</v>
      </c>
      <c r="E164" s="83">
        <f>SUM(E165:E174)</f>
        <v>23323174.8</v>
      </c>
      <c r="F164" s="83">
        <f>SUM(F165:F174)</f>
        <v>104326789.8</v>
      </c>
      <c r="G164" s="51">
        <f t="shared" si="17"/>
        <v>0.31357848256822557</v>
      </c>
      <c r="H164" s="83">
        <f t="shared" si="18"/>
        <v>1298774616.89</v>
      </c>
      <c r="I164" s="83">
        <f>SUM(I165:I173)</f>
        <v>28300076.119999997</v>
      </c>
      <c r="J164" s="83">
        <f>SUM(J165:J173)</f>
        <v>74321310.11999999</v>
      </c>
      <c r="K164" s="51">
        <f t="shared" si="19"/>
        <v>0.24893180091661826</v>
      </c>
      <c r="L164" s="86">
        <f t="shared" si="20"/>
        <v>1328780096.5700002</v>
      </c>
      <c r="M164" s="8"/>
      <c r="O164" s="10"/>
    </row>
    <row r="165" spans="1:13" s="7" customFormat="1" ht="15">
      <c r="A165" s="52" t="s">
        <v>28</v>
      </c>
      <c r="B165" s="53" t="s">
        <v>33</v>
      </c>
      <c r="C165" s="84">
        <v>177899889</v>
      </c>
      <c r="D165" s="84">
        <v>224485201.45</v>
      </c>
      <c r="E165" s="84">
        <f>F165-48049168</f>
        <v>20681095.060000002</v>
      </c>
      <c r="F165" s="84">
        <v>68730263.06</v>
      </c>
      <c r="G165" s="56">
        <f t="shared" si="17"/>
        <v>0.20658482483920698</v>
      </c>
      <c r="H165" s="84">
        <f t="shared" si="18"/>
        <v>155754938.39</v>
      </c>
      <c r="I165" s="84">
        <f>J165-42295959</f>
        <v>20502429.619999997</v>
      </c>
      <c r="J165" s="84">
        <v>62798388.62</v>
      </c>
      <c r="K165" s="56">
        <f t="shared" si="19"/>
        <v>0.21033692690020983</v>
      </c>
      <c r="L165" s="87">
        <f t="shared" si="20"/>
        <v>161686812.82999998</v>
      </c>
      <c r="M165" s="8"/>
    </row>
    <row r="166" spans="1:13" s="7" customFormat="1" ht="15">
      <c r="A166" s="52" t="s">
        <v>29</v>
      </c>
      <c r="B166" s="53" t="s">
        <v>34</v>
      </c>
      <c r="C166" s="84">
        <v>150000</v>
      </c>
      <c r="D166" s="84">
        <v>150000</v>
      </c>
      <c r="E166" s="84">
        <f>F166-0</f>
        <v>0</v>
      </c>
      <c r="F166" s="84">
        <v>0</v>
      </c>
      <c r="G166" s="56">
        <f t="shared" si="17"/>
        <v>0</v>
      </c>
      <c r="H166" s="84">
        <f t="shared" si="18"/>
        <v>150000</v>
      </c>
      <c r="I166" s="84">
        <f>J166-0</f>
        <v>0</v>
      </c>
      <c r="J166" s="84">
        <v>0</v>
      </c>
      <c r="K166" s="56">
        <f t="shared" si="19"/>
        <v>0</v>
      </c>
      <c r="L166" s="87">
        <f t="shared" si="20"/>
        <v>150000</v>
      </c>
      <c r="M166" s="8"/>
    </row>
    <row r="167" spans="1:13" s="7" customFormat="1" ht="15">
      <c r="A167" s="52" t="s">
        <v>151</v>
      </c>
      <c r="B167" s="53" t="s">
        <v>152</v>
      </c>
      <c r="C167" s="84">
        <v>0</v>
      </c>
      <c r="D167" s="84">
        <v>0</v>
      </c>
      <c r="E167" s="84">
        <f>F167-0</f>
        <v>0</v>
      </c>
      <c r="F167" s="84">
        <v>0</v>
      </c>
      <c r="G167" s="56">
        <f t="shared" si="17"/>
        <v>0</v>
      </c>
      <c r="H167" s="84">
        <f t="shared" si="18"/>
        <v>0</v>
      </c>
      <c r="I167" s="84">
        <f>J167-0</f>
        <v>0</v>
      </c>
      <c r="J167" s="84">
        <v>0</v>
      </c>
      <c r="K167" s="56">
        <f t="shared" si="19"/>
        <v>0</v>
      </c>
      <c r="L167" s="87">
        <f t="shared" si="20"/>
        <v>0</v>
      </c>
      <c r="M167" s="8"/>
    </row>
    <row r="168" spans="1:13" s="7" customFormat="1" ht="15">
      <c r="A168" s="52" t="s">
        <v>153</v>
      </c>
      <c r="B168" s="53" t="s">
        <v>154</v>
      </c>
      <c r="C168" s="84">
        <v>757633057</v>
      </c>
      <c r="D168" s="84">
        <v>809352629.26</v>
      </c>
      <c r="E168" s="84">
        <f>F168-994537</f>
        <v>-858.109999999986</v>
      </c>
      <c r="F168" s="84">
        <v>993678.89</v>
      </c>
      <c r="G168" s="56">
        <f t="shared" si="17"/>
        <v>0.0029867335042478103</v>
      </c>
      <c r="H168" s="84">
        <f aca="true" t="shared" si="21" ref="H168:H174">D168-F168</f>
        <v>808358950.37</v>
      </c>
      <c r="I168" s="84">
        <f>J168-103949</f>
        <v>608682.59</v>
      </c>
      <c r="J168" s="84">
        <v>712631.59</v>
      </c>
      <c r="K168" s="56">
        <f t="shared" si="19"/>
        <v>0.002386888293577529</v>
      </c>
      <c r="L168" s="87">
        <f aca="true" t="shared" si="22" ref="L168:L174">D168-J168</f>
        <v>808639997.67</v>
      </c>
      <c r="M168" s="8"/>
    </row>
    <row r="169" spans="1:13" s="7" customFormat="1" ht="15">
      <c r="A169" s="52" t="s">
        <v>30</v>
      </c>
      <c r="B169" s="53" t="s">
        <v>35</v>
      </c>
      <c r="C169" s="84">
        <v>30747000</v>
      </c>
      <c r="D169" s="84">
        <v>30772937</v>
      </c>
      <c r="E169" s="84">
        <f>F169-961534</f>
        <v>91786.81000000006</v>
      </c>
      <c r="F169" s="84">
        <v>1053320.81</v>
      </c>
      <c r="G169" s="56">
        <f t="shared" si="17"/>
        <v>0.003166001195767017</v>
      </c>
      <c r="H169" s="84">
        <f t="shared" si="21"/>
        <v>29719616.19</v>
      </c>
      <c r="I169" s="84">
        <f>J169-446353</f>
        <v>374005.18999999994</v>
      </c>
      <c r="J169" s="84">
        <v>820358.19</v>
      </c>
      <c r="K169" s="56">
        <f t="shared" si="19"/>
        <v>0.0027477077745759913</v>
      </c>
      <c r="L169" s="87">
        <f t="shared" si="22"/>
        <v>29952578.81</v>
      </c>
      <c r="M169" s="8"/>
    </row>
    <row r="170" spans="1:13" s="7" customFormat="1" ht="15">
      <c r="A170" s="52" t="s">
        <v>145</v>
      </c>
      <c r="B170" s="53" t="s">
        <v>146</v>
      </c>
      <c r="C170" s="84">
        <v>199756072</v>
      </c>
      <c r="D170" s="84">
        <v>201420361.31</v>
      </c>
      <c r="E170" s="84">
        <f>F170-29117817</f>
        <v>1949718.3999999985</v>
      </c>
      <c r="F170" s="84">
        <v>31067535.4</v>
      </c>
      <c r="G170" s="56">
        <f t="shared" si="17"/>
        <v>0.09338071866816543</v>
      </c>
      <c r="H170" s="84">
        <f t="shared" si="21"/>
        <v>170352825.91</v>
      </c>
      <c r="I170" s="84">
        <f>J170-2106876</f>
        <v>6236989.15</v>
      </c>
      <c r="J170" s="84">
        <v>8343865.15</v>
      </c>
      <c r="K170" s="56">
        <f t="shared" si="19"/>
        <v>0.027946942472371335</v>
      </c>
      <c r="L170" s="87">
        <f t="shared" si="22"/>
        <v>193076496.16</v>
      </c>
      <c r="M170" s="8"/>
    </row>
    <row r="171" spans="1:13" s="7" customFormat="1" ht="15">
      <c r="A171" s="68" t="s">
        <v>147</v>
      </c>
      <c r="B171" s="53" t="s">
        <v>148</v>
      </c>
      <c r="C171" s="84">
        <v>69083516</v>
      </c>
      <c r="D171" s="84">
        <v>113832206.16</v>
      </c>
      <c r="E171" s="84">
        <f>F171-50000</f>
        <v>0</v>
      </c>
      <c r="F171" s="84">
        <v>50000</v>
      </c>
      <c r="G171" s="56">
        <f t="shared" si="17"/>
        <v>0.00015028665368184535</v>
      </c>
      <c r="H171" s="84">
        <f t="shared" si="21"/>
        <v>113782206.16</v>
      </c>
      <c r="I171" s="84">
        <f>J171-50000</f>
        <v>0</v>
      </c>
      <c r="J171" s="84">
        <v>50000</v>
      </c>
      <c r="K171" s="56">
        <f t="shared" si="19"/>
        <v>0.00016747000322968626</v>
      </c>
      <c r="L171" s="87">
        <f t="shared" si="22"/>
        <v>113782206.16</v>
      </c>
      <c r="M171" s="8"/>
    </row>
    <row r="172" spans="1:13" s="7" customFormat="1" ht="15">
      <c r="A172" s="68" t="s">
        <v>160</v>
      </c>
      <c r="B172" s="53" t="s">
        <v>161</v>
      </c>
      <c r="C172" s="91">
        <v>7970918</v>
      </c>
      <c r="D172" s="84">
        <v>8803200.55</v>
      </c>
      <c r="E172" s="84">
        <f>F172-1122179</f>
        <v>315124.76</v>
      </c>
      <c r="F172" s="84">
        <v>1437303.76</v>
      </c>
      <c r="G172" s="56">
        <f t="shared" si="17"/>
        <v>0.004320151448294684</v>
      </c>
      <c r="H172" s="84">
        <f t="shared" si="21"/>
        <v>7365896.790000001</v>
      </c>
      <c r="I172" s="84">
        <f>J172-315786</f>
        <v>410383.68999999994</v>
      </c>
      <c r="J172" s="84">
        <v>726169.69</v>
      </c>
      <c r="K172" s="56">
        <f t="shared" si="19"/>
        <v>0.0024322328065920053</v>
      </c>
      <c r="L172" s="87">
        <f t="shared" si="22"/>
        <v>8077030.860000001</v>
      </c>
      <c r="M172" s="8"/>
    </row>
    <row r="173" spans="1:13" s="7" customFormat="1" ht="15">
      <c r="A173" s="68" t="s">
        <v>97</v>
      </c>
      <c r="B173" s="53" t="s">
        <v>237</v>
      </c>
      <c r="C173" s="91">
        <v>6325000</v>
      </c>
      <c r="D173" s="84">
        <v>10284870.96</v>
      </c>
      <c r="E173" s="84">
        <f>F173-708380</f>
        <v>286307.88</v>
      </c>
      <c r="F173" s="84">
        <v>994687.88</v>
      </c>
      <c r="G173" s="56">
        <f t="shared" si="17"/>
        <v>0.0029897662588617793</v>
      </c>
      <c r="H173" s="84">
        <f t="shared" si="21"/>
        <v>9290183.08</v>
      </c>
      <c r="I173" s="84">
        <f>J173-702311</f>
        <v>167585.88</v>
      </c>
      <c r="J173" s="84">
        <v>869896.88</v>
      </c>
      <c r="K173" s="56">
        <f t="shared" si="19"/>
        <v>0.00291363266606188</v>
      </c>
      <c r="L173" s="87">
        <f t="shared" si="22"/>
        <v>9414974.08</v>
      </c>
      <c r="M173" s="8"/>
    </row>
    <row r="174" spans="1:13" s="7" customFormat="1" ht="15">
      <c r="A174" s="61" t="s">
        <v>201</v>
      </c>
      <c r="B174" s="53" t="s">
        <v>202</v>
      </c>
      <c r="C174" s="91">
        <v>4000000</v>
      </c>
      <c r="D174" s="84">
        <v>4000000</v>
      </c>
      <c r="E174" s="84">
        <f>F174-0</f>
        <v>0</v>
      </c>
      <c r="F174" s="84">
        <v>0</v>
      </c>
      <c r="G174" s="56">
        <f t="shared" si="17"/>
        <v>0</v>
      </c>
      <c r="H174" s="84">
        <f t="shared" si="21"/>
        <v>4000000</v>
      </c>
      <c r="I174" s="84">
        <f>J174-0</f>
        <v>0</v>
      </c>
      <c r="J174" s="84">
        <v>0</v>
      </c>
      <c r="K174" s="56">
        <f t="shared" si="19"/>
        <v>0</v>
      </c>
      <c r="L174" s="87">
        <f t="shared" si="22"/>
        <v>4000000</v>
      </c>
      <c r="M174" s="8"/>
    </row>
    <row r="175" spans="1:12" ht="14.25">
      <c r="A175" s="47" t="s">
        <v>158</v>
      </c>
      <c r="B175" s="50" t="s">
        <v>159</v>
      </c>
      <c r="C175" s="83">
        <f>SUM(C176:C183)</f>
        <v>539201464</v>
      </c>
      <c r="D175" s="83">
        <f>SUM(D176:D183)</f>
        <v>537975964.35</v>
      </c>
      <c r="E175" s="83">
        <f>SUM(E176:E183)</f>
        <v>45746219.370000005</v>
      </c>
      <c r="F175" s="83">
        <f>SUM(F176:F183)</f>
        <v>102581988.37</v>
      </c>
      <c r="G175" s="51">
        <f t="shared" si="17"/>
        <v>0.3083340752031456</v>
      </c>
      <c r="H175" s="83">
        <f>D175-F175</f>
        <v>435393975.98</v>
      </c>
      <c r="I175" s="83">
        <f>SUM(I176:I183)</f>
        <v>43173575.75</v>
      </c>
      <c r="J175" s="83">
        <f>SUM(J176:J183)</f>
        <v>99276204.75000001</v>
      </c>
      <c r="K175" s="51">
        <f t="shared" si="19"/>
        <v>0.33251572660226997</v>
      </c>
      <c r="L175" s="86">
        <f>D175-J175</f>
        <v>438699759.6</v>
      </c>
    </row>
    <row r="176" spans="1:12" ht="15">
      <c r="A176" s="52" t="s">
        <v>28</v>
      </c>
      <c r="B176" s="53" t="s">
        <v>33</v>
      </c>
      <c r="C176" s="84">
        <v>89577636</v>
      </c>
      <c r="D176" s="84">
        <v>77352136.35</v>
      </c>
      <c r="E176" s="84">
        <f>F176-18757455</f>
        <v>8916365.3</v>
      </c>
      <c r="F176" s="84">
        <v>27673820.3</v>
      </c>
      <c r="G176" s="56">
        <f t="shared" si="17"/>
        <v>0.08318011694959444</v>
      </c>
      <c r="H176" s="84">
        <f aca="true" t="shared" si="23" ref="H176:H248">D176-F176</f>
        <v>49678316.05</v>
      </c>
      <c r="I176" s="84">
        <f>J176-18189376</f>
        <v>8806731.02</v>
      </c>
      <c r="J176" s="84">
        <v>26996107.02</v>
      </c>
      <c r="K176" s="56">
        <f t="shared" si="19"/>
        <v>0.09042076259656712</v>
      </c>
      <c r="L176" s="87">
        <f>D176-J176</f>
        <v>50356029.33</v>
      </c>
    </row>
    <row r="177" spans="1:12" ht="15">
      <c r="A177" s="52" t="s">
        <v>50</v>
      </c>
      <c r="B177" s="53" t="s">
        <v>57</v>
      </c>
      <c r="C177" s="84">
        <v>20065414</v>
      </c>
      <c r="D177" s="84">
        <v>31065414</v>
      </c>
      <c r="E177" s="84">
        <f>F177-636622</f>
        <v>2591531.23</v>
      </c>
      <c r="F177" s="84">
        <v>3228153.23</v>
      </c>
      <c r="G177" s="56">
        <f t="shared" si="17"/>
        <v>0.00970296693017881</v>
      </c>
      <c r="H177" s="84">
        <f t="shared" si="23"/>
        <v>27837260.77</v>
      </c>
      <c r="I177" s="84">
        <f>J177-480561</f>
        <v>641530.69</v>
      </c>
      <c r="J177" s="84">
        <v>1122091.69</v>
      </c>
      <c r="K177" s="56">
        <f t="shared" si="19"/>
        <v>0.0037583339789660822</v>
      </c>
      <c r="L177" s="87">
        <f aca="true" t="shared" si="24" ref="L177:L246">D177-J177</f>
        <v>29943322.31</v>
      </c>
    </row>
    <row r="178" spans="1:12" ht="15">
      <c r="A178" s="52" t="s">
        <v>29</v>
      </c>
      <c r="B178" s="53" t="s">
        <v>34</v>
      </c>
      <c r="C178" s="84">
        <v>10000</v>
      </c>
      <c r="D178" s="84">
        <v>10000</v>
      </c>
      <c r="E178" s="84">
        <f aca="true" t="shared" si="25" ref="E178:E183">F178-0</f>
        <v>0</v>
      </c>
      <c r="F178" s="84">
        <v>0</v>
      </c>
      <c r="G178" s="56">
        <f t="shared" si="17"/>
        <v>0</v>
      </c>
      <c r="H178" s="84">
        <f t="shared" si="23"/>
        <v>10000</v>
      </c>
      <c r="I178" s="84">
        <f aca="true" t="shared" si="26" ref="I178:I183">J178-0</f>
        <v>0</v>
      </c>
      <c r="J178" s="84">
        <v>0</v>
      </c>
      <c r="K178" s="56">
        <f t="shared" si="19"/>
        <v>0</v>
      </c>
      <c r="L178" s="87">
        <f t="shared" si="24"/>
        <v>10000</v>
      </c>
    </row>
    <row r="179" spans="1:12" ht="15">
      <c r="A179" s="52" t="s">
        <v>114</v>
      </c>
      <c r="B179" s="53" t="s">
        <v>121</v>
      </c>
      <c r="C179" s="84">
        <v>81600000</v>
      </c>
      <c r="D179" s="84">
        <v>81600000</v>
      </c>
      <c r="E179" s="84">
        <f>F179-26986379</f>
        <v>13555733.310000002</v>
      </c>
      <c r="F179" s="84">
        <v>40542112.31</v>
      </c>
      <c r="G179" s="56">
        <f t="shared" si="17"/>
        <v>0.121858767845269</v>
      </c>
      <c r="H179" s="84">
        <f t="shared" si="23"/>
        <v>41057887.69</v>
      </c>
      <c r="I179" s="84">
        <f>J179-26977379</f>
        <v>13438933.310000002</v>
      </c>
      <c r="J179" s="84">
        <v>40416312.31</v>
      </c>
      <c r="K179" s="56">
        <f t="shared" si="19"/>
        <v>0.13537039906175416</v>
      </c>
      <c r="L179" s="87">
        <f t="shared" si="24"/>
        <v>41183687.69</v>
      </c>
    </row>
    <row r="180" spans="1:12" ht="15">
      <c r="A180" s="52" t="s">
        <v>116</v>
      </c>
      <c r="B180" s="53" t="s">
        <v>123</v>
      </c>
      <c r="C180" s="84">
        <v>0</v>
      </c>
      <c r="D180" s="84">
        <v>0</v>
      </c>
      <c r="E180" s="84">
        <f>F180-9519246</f>
        <v>-9519246</v>
      </c>
      <c r="F180" s="84">
        <v>0</v>
      </c>
      <c r="G180" s="56">
        <f t="shared" si="17"/>
        <v>0</v>
      </c>
      <c r="H180" s="84">
        <f t="shared" si="23"/>
        <v>0</v>
      </c>
      <c r="I180" s="84">
        <f>J180-9519246</f>
        <v>-9519246</v>
      </c>
      <c r="J180" s="84">
        <v>0</v>
      </c>
      <c r="K180" s="56">
        <f t="shared" si="19"/>
        <v>0</v>
      </c>
      <c r="L180" s="87">
        <f t="shared" si="24"/>
        <v>0</v>
      </c>
    </row>
    <row r="181" spans="1:12" ht="15">
      <c r="A181" s="52" t="s">
        <v>96</v>
      </c>
      <c r="B181" s="53" t="s">
        <v>102</v>
      </c>
      <c r="C181" s="84">
        <v>178221084</v>
      </c>
      <c r="D181" s="84">
        <v>187621084</v>
      </c>
      <c r="E181" s="84">
        <f>F181-936067</f>
        <v>29265768.53</v>
      </c>
      <c r="F181" s="84">
        <v>30201835.53</v>
      </c>
      <c r="G181" s="56">
        <f t="shared" si="17"/>
        <v>0.09077865593706326</v>
      </c>
      <c r="H181" s="84">
        <f t="shared" si="23"/>
        <v>157419248.47</v>
      </c>
      <c r="I181" s="84">
        <f>J181-936067</f>
        <v>28869559.73</v>
      </c>
      <c r="J181" s="84">
        <v>29805626.73</v>
      </c>
      <c r="K181" s="56">
        <f t="shared" si="19"/>
        <v>0.09983096809471846</v>
      </c>
      <c r="L181" s="87">
        <f t="shared" si="24"/>
        <v>157815457.27</v>
      </c>
    </row>
    <row r="182" spans="1:12" ht="15">
      <c r="A182" s="52" t="s">
        <v>160</v>
      </c>
      <c r="B182" s="53" t="s">
        <v>161</v>
      </c>
      <c r="C182" s="84">
        <v>139135539</v>
      </c>
      <c r="D182" s="84">
        <v>128835539</v>
      </c>
      <c r="E182" s="84">
        <f t="shared" si="25"/>
        <v>936067</v>
      </c>
      <c r="F182" s="84">
        <v>936067</v>
      </c>
      <c r="G182" s="56">
        <f aca="true" t="shared" si="27" ref="G182:G213">(F182/$F$258)*100</f>
        <v>0.002813567541040079</v>
      </c>
      <c r="H182" s="84">
        <f t="shared" si="23"/>
        <v>127899472</v>
      </c>
      <c r="I182" s="84">
        <f t="shared" si="26"/>
        <v>936067</v>
      </c>
      <c r="J182" s="84">
        <v>936067</v>
      </c>
      <c r="K182" s="56">
        <f aca="true" t="shared" si="28" ref="K182:K213">(J182/$J$258)*100</f>
        <v>0.0031352628702640546</v>
      </c>
      <c r="L182" s="87">
        <f t="shared" si="24"/>
        <v>127899472</v>
      </c>
    </row>
    <row r="183" spans="1:12" ht="15">
      <c r="A183" s="52" t="s">
        <v>97</v>
      </c>
      <c r="B183" s="53" t="s">
        <v>241</v>
      </c>
      <c r="C183" s="84">
        <v>30591791</v>
      </c>
      <c r="D183" s="84">
        <v>31491791</v>
      </c>
      <c r="E183" s="84">
        <f t="shared" si="25"/>
        <v>0</v>
      </c>
      <c r="F183" s="84">
        <v>0</v>
      </c>
      <c r="G183" s="56">
        <f t="shared" si="27"/>
        <v>0</v>
      </c>
      <c r="H183" s="84">
        <f t="shared" si="23"/>
        <v>31491791</v>
      </c>
      <c r="I183" s="84">
        <f t="shared" si="26"/>
        <v>0</v>
      </c>
      <c r="J183" s="84">
        <v>0</v>
      </c>
      <c r="K183" s="56">
        <f t="shared" si="28"/>
        <v>0</v>
      </c>
      <c r="L183" s="87">
        <f t="shared" si="24"/>
        <v>31491791</v>
      </c>
    </row>
    <row r="184" spans="1:12" ht="14.25">
      <c r="A184" s="47" t="s">
        <v>162</v>
      </c>
      <c r="B184" s="50" t="s">
        <v>163</v>
      </c>
      <c r="C184" s="83">
        <f>SUM(C185:C200)</f>
        <v>357865043</v>
      </c>
      <c r="D184" s="83">
        <f>SUM(D185:D200)</f>
        <v>430965986.52</v>
      </c>
      <c r="E184" s="83">
        <f>SUM(E185:E200)</f>
        <v>43593004.88</v>
      </c>
      <c r="F184" s="83">
        <f>SUM(F185:F200)</f>
        <v>158953731.88</v>
      </c>
      <c r="G184" s="51">
        <f t="shared" si="27"/>
        <v>0.47777248908972925</v>
      </c>
      <c r="H184" s="83">
        <f t="shared" si="23"/>
        <v>272012254.64</v>
      </c>
      <c r="I184" s="83">
        <f>SUM(I185:I200)</f>
        <v>46714292.85999999</v>
      </c>
      <c r="J184" s="83">
        <f>SUM(J185:J200)</f>
        <v>151242137.85999998</v>
      </c>
      <c r="K184" s="51">
        <f t="shared" si="28"/>
        <v>0.506570426317577</v>
      </c>
      <c r="L184" s="86">
        <f t="shared" si="24"/>
        <v>279723848.65999997</v>
      </c>
    </row>
    <row r="185" spans="1:12" ht="15">
      <c r="A185" s="52" t="s">
        <v>28</v>
      </c>
      <c r="B185" s="53" t="s">
        <v>33</v>
      </c>
      <c r="C185" s="84">
        <v>330972187</v>
      </c>
      <c r="D185" s="84">
        <v>331947371.29</v>
      </c>
      <c r="E185" s="84">
        <f>F185-100664056</f>
        <v>44162225.81</v>
      </c>
      <c r="F185" s="84">
        <v>144826281.81</v>
      </c>
      <c r="G185" s="56">
        <f t="shared" si="27"/>
        <v>0.4353091451681762</v>
      </c>
      <c r="H185" s="84">
        <f t="shared" si="23"/>
        <v>187121089.48000002</v>
      </c>
      <c r="I185" s="84">
        <f>J185-99557873</f>
        <v>44442600.28999999</v>
      </c>
      <c r="J185" s="84">
        <v>144000473.29</v>
      </c>
      <c r="K185" s="56">
        <f t="shared" si="28"/>
        <v>0.482315194539053</v>
      </c>
      <c r="L185" s="87">
        <f t="shared" si="24"/>
        <v>187946898.00000003</v>
      </c>
    </row>
    <row r="186" spans="1:12" ht="15">
      <c r="A186" s="52" t="s">
        <v>50</v>
      </c>
      <c r="B186" s="53" t="s">
        <v>57</v>
      </c>
      <c r="C186" s="84">
        <v>5000</v>
      </c>
      <c r="D186" s="84">
        <v>5000</v>
      </c>
      <c r="E186" s="84">
        <f>F186-0</f>
        <v>0</v>
      </c>
      <c r="F186" s="84">
        <v>0</v>
      </c>
      <c r="G186" s="56">
        <f t="shared" si="27"/>
        <v>0</v>
      </c>
      <c r="H186" s="84">
        <f t="shared" si="23"/>
        <v>5000</v>
      </c>
      <c r="I186" s="84">
        <f aca="true" t="shared" si="29" ref="I186:I200">J186-0</f>
        <v>0</v>
      </c>
      <c r="J186" s="84">
        <v>0</v>
      </c>
      <c r="K186" s="56">
        <f t="shared" si="28"/>
        <v>0</v>
      </c>
      <c r="L186" s="87">
        <f t="shared" si="24"/>
        <v>5000</v>
      </c>
    </row>
    <row r="187" spans="1:12" ht="15">
      <c r="A187" s="52" t="s">
        <v>51</v>
      </c>
      <c r="B187" s="53" t="s">
        <v>58</v>
      </c>
      <c r="C187" s="84">
        <v>0</v>
      </c>
      <c r="D187" s="84">
        <v>0</v>
      </c>
      <c r="E187" s="84">
        <f>F187-0</f>
        <v>0</v>
      </c>
      <c r="F187" s="84">
        <v>0</v>
      </c>
      <c r="G187" s="56">
        <f t="shared" si="27"/>
        <v>0</v>
      </c>
      <c r="H187" s="84">
        <f t="shared" si="23"/>
        <v>0</v>
      </c>
      <c r="I187" s="84">
        <f t="shared" si="29"/>
        <v>0</v>
      </c>
      <c r="J187" s="84">
        <v>0</v>
      </c>
      <c r="K187" s="56">
        <f t="shared" si="28"/>
        <v>0</v>
      </c>
      <c r="L187" s="87">
        <f t="shared" si="24"/>
        <v>0</v>
      </c>
    </row>
    <row r="188" spans="1:12" ht="15">
      <c r="A188" s="52" t="s">
        <v>29</v>
      </c>
      <c r="B188" s="53" t="s">
        <v>267</v>
      </c>
      <c r="C188" s="84">
        <v>5000</v>
      </c>
      <c r="D188" s="84">
        <v>5000</v>
      </c>
      <c r="E188" s="54">
        <f>F188-0</f>
        <v>0</v>
      </c>
      <c r="F188" s="54">
        <v>0</v>
      </c>
      <c r="G188" s="56">
        <f t="shared" si="27"/>
        <v>0</v>
      </c>
      <c r="H188" s="84">
        <f t="shared" si="23"/>
        <v>5000</v>
      </c>
      <c r="I188" s="84">
        <f t="shared" si="29"/>
        <v>0</v>
      </c>
      <c r="J188" s="84">
        <v>0</v>
      </c>
      <c r="K188" s="56">
        <f t="shared" si="28"/>
        <v>0</v>
      </c>
      <c r="L188" s="87">
        <f t="shared" si="24"/>
        <v>5000</v>
      </c>
    </row>
    <row r="189" spans="1:12" ht="15">
      <c r="A189" s="52" t="s">
        <v>94</v>
      </c>
      <c r="B189" s="53" t="s">
        <v>100</v>
      </c>
      <c r="C189" s="54">
        <v>0</v>
      </c>
      <c r="D189" s="54">
        <v>0</v>
      </c>
      <c r="E189" s="54">
        <f>F189-0</f>
        <v>0</v>
      </c>
      <c r="F189" s="54">
        <v>0</v>
      </c>
      <c r="G189" s="56">
        <f t="shared" si="27"/>
        <v>0</v>
      </c>
      <c r="H189" s="84">
        <f t="shared" si="23"/>
        <v>0</v>
      </c>
      <c r="I189" s="84">
        <f t="shared" si="29"/>
        <v>0</v>
      </c>
      <c r="J189" s="84">
        <v>0</v>
      </c>
      <c r="K189" s="56">
        <f t="shared" si="28"/>
        <v>0</v>
      </c>
      <c r="L189" s="87">
        <f t="shared" si="24"/>
        <v>0</v>
      </c>
    </row>
    <row r="190" spans="1:12" ht="15">
      <c r="A190" s="52" t="s">
        <v>68</v>
      </c>
      <c r="B190" s="53" t="s">
        <v>76</v>
      </c>
      <c r="C190" s="84">
        <v>967074</v>
      </c>
      <c r="D190" s="84">
        <v>329000</v>
      </c>
      <c r="E190" s="84">
        <f>F190-16759</f>
        <v>-0.09999999999854481</v>
      </c>
      <c r="F190" s="84">
        <v>16758.9</v>
      </c>
      <c r="G190" s="56">
        <f t="shared" si="27"/>
        <v>5.037278000777357E-05</v>
      </c>
      <c r="H190" s="84">
        <f t="shared" si="23"/>
        <v>312241.1</v>
      </c>
      <c r="I190" s="84">
        <f>J190-16759</f>
        <v>-0.09999999999854481</v>
      </c>
      <c r="J190" s="84">
        <v>16758.9</v>
      </c>
      <c r="K190" s="56">
        <f t="shared" si="28"/>
        <v>5.613226074251978E-05</v>
      </c>
      <c r="L190" s="87">
        <f t="shared" si="24"/>
        <v>312241.1</v>
      </c>
    </row>
    <row r="191" spans="1:12" ht="15">
      <c r="A191" s="52" t="s">
        <v>135</v>
      </c>
      <c r="B191" s="53" t="s">
        <v>136</v>
      </c>
      <c r="C191" s="54">
        <v>0</v>
      </c>
      <c r="D191" s="84">
        <v>0</v>
      </c>
      <c r="E191" s="54">
        <f aca="true" t="shared" si="30" ref="E191:E200">F191-0</f>
        <v>0</v>
      </c>
      <c r="F191" s="54">
        <v>0</v>
      </c>
      <c r="G191" s="56">
        <f t="shared" si="27"/>
        <v>0</v>
      </c>
      <c r="H191" s="54">
        <f t="shared" si="23"/>
        <v>0</v>
      </c>
      <c r="I191" s="84">
        <f t="shared" si="29"/>
        <v>0</v>
      </c>
      <c r="J191" s="54">
        <v>0</v>
      </c>
      <c r="K191" s="56">
        <f t="shared" si="28"/>
        <v>0</v>
      </c>
      <c r="L191" s="87">
        <f t="shared" si="24"/>
        <v>0</v>
      </c>
    </row>
    <row r="192" spans="1:12" ht="15">
      <c r="A192" s="52" t="s">
        <v>96</v>
      </c>
      <c r="B192" s="53" t="s">
        <v>102</v>
      </c>
      <c r="C192" s="84">
        <v>73433</v>
      </c>
      <c r="D192" s="84">
        <v>73433</v>
      </c>
      <c r="E192" s="54">
        <f t="shared" si="30"/>
        <v>0</v>
      </c>
      <c r="F192" s="54">
        <v>0</v>
      </c>
      <c r="G192" s="56">
        <f t="shared" si="27"/>
        <v>0</v>
      </c>
      <c r="H192" s="84">
        <f t="shared" si="23"/>
        <v>73433</v>
      </c>
      <c r="I192" s="84">
        <f t="shared" si="29"/>
        <v>0</v>
      </c>
      <c r="J192" s="54">
        <v>0</v>
      </c>
      <c r="K192" s="56">
        <f t="shared" si="28"/>
        <v>0</v>
      </c>
      <c r="L192" s="87">
        <f t="shared" si="24"/>
        <v>73433</v>
      </c>
    </row>
    <row r="193" spans="1:12" ht="15">
      <c r="A193" s="52" t="s">
        <v>155</v>
      </c>
      <c r="B193" s="53" t="s">
        <v>156</v>
      </c>
      <c r="C193" s="54">
        <v>0</v>
      </c>
      <c r="D193" s="84">
        <v>0</v>
      </c>
      <c r="E193" s="54">
        <f t="shared" si="30"/>
        <v>0</v>
      </c>
      <c r="F193" s="54">
        <v>0</v>
      </c>
      <c r="G193" s="56">
        <f t="shared" si="27"/>
        <v>0</v>
      </c>
      <c r="H193" s="84">
        <f t="shared" si="23"/>
        <v>0</v>
      </c>
      <c r="I193" s="84">
        <f t="shared" si="29"/>
        <v>0</v>
      </c>
      <c r="J193" s="54">
        <v>0</v>
      </c>
      <c r="K193" s="56">
        <f t="shared" si="28"/>
        <v>0</v>
      </c>
      <c r="L193" s="87">
        <f t="shared" si="24"/>
        <v>0</v>
      </c>
    </row>
    <row r="194" spans="1:12" ht="15">
      <c r="A194" s="52" t="s">
        <v>166</v>
      </c>
      <c r="B194" s="53" t="s">
        <v>167</v>
      </c>
      <c r="C194" s="54">
        <v>0</v>
      </c>
      <c r="D194" s="84">
        <v>0</v>
      </c>
      <c r="E194" s="54">
        <f t="shared" si="30"/>
        <v>0</v>
      </c>
      <c r="F194" s="54">
        <v>0</v>
      </c>
      <c r="G194" s="56">
        <f t="shared" si="27"/>
        <v>0</v>
      </c>
      <c r="H194" s="84">
        <f t="shared" si="23"/>
        <v>0</v>
      </c>
      <c r="I194" s="84">
        <f t="shared" si="29"/>
        <v>0</v>
      </c>
      <c r="J194" s="54">
        <v>0</v>
      </c>
      <c r="K194" s="56">
        <f t="shared" si="28"/>
        <v>0</v>
      </c>
      <c r="L194" s="87">
        <f t="shared" si="24"/>
        <v>0</v>
      </c>
    </row>
    <row r="195" spans="1:12" ht="15">
      <c r="A195" s="52" t="s">
        <v>168</v>
      </c>
      <c r="B195" s="53" t="s">
        <v>169</v>
      </c>
      <c r="C195" s="54">
        <v>0</v>
      </c>
      <c r="D195" s="84">
        <v>0</v>
      </c>
      <c r="E195" s="54">
        <f t="shared" si="30"/>
        <v>0</v>
      </c>
      <c r="F195" s="54">
        <v>0</v>
      </c>
      <c r="G195" s="56">
        <f t="shared" si="27"/>
        <v>0</v>
      </c>
      <c r="H195" s="84">
        <f t="shared" si="23"/>
        <v>0</v>
      </c>
      <c r="I195" s="84">
        <f t="shared" si="29"/>
        <v>0</v>
      </c>
      <c r="J195" s="54">
        <v>0</v>
      </c>
      <c r="K195" s="56">
        <f t="shared" si="28"/>
        <v>0</v>
      </c>
      <c r="L195" s="87">
        <f t="shared" si="24"/>
        <v>0</v>
      </c>
    </row>
    <row r="196" spans="1:12" ht="15">
      <c r="A196" s="52" t="s">
        <v>170</v>
      </c>
      <c r="B196" s="53" t="s">
        <v>171</v>
      </c>
      <c r="C196" s="84">
        <v>1135001</v>
      </c>
      <c r="D196" s="84">
        <v>700001</v>
      </c>
      <c r="E196" s="54">
        <f t="shared" si="30"/>
        <v>0</v>
      </c>
      <c r="F196" s="54">
        <v>0</v>
      </c>
      <c r="G196" s="56">
        <f t="shared" si="27"/>
        <v>0</v>
      </c>
      <c r="H196" s="84">
        <f t="shared" si="23"/>
        <v>700001</v>
      </c>
      <c r="I196" s="84">
        <f t="shared" si="29"/>
        <v>0</v>
      </c>
      <c r="J196" s="54">
        <v>0</v>
      </c>
      <c r="K196" s="56">
        <f t="shared" si="28"/>
        <v>0</v>
      </c>
      <c r="L196" s="87">
        <f t="shared" si="24"/>
        <v>700001</v>
      </c>
    </row>
    <row r="197" spans="1:12" ht="15">
      <c r="A197" s="52" t="s">
        <v>172</v>
      </c>
      <c r="B197" s="53" t="s">
        <v>173</v>
      </c>
      <c r="C197" s="84">
        <v>8959673</v>
      </c>
      <c r="D197" s="84">
        <v>91052577.08</v>
      </c>
      <c r="E197" s="84">
        <f>F197-14421229</f>
        <v>-750333.7300000004</v>
      </c>
      <c r="F197" s="84">
        <v>13670895.27</v>
      </c>
      <c r="G197" s="56">
        <f t="shared" si="27"/>
        <v>0.041091062059265354</v>
      </c>
      <c r="H197" s="84">
        <f t="shared" si="23"/>
        <v>77381681.81</v>
      </c>
      <c r="I197" s="84">
        <f>J197-4804836</f>
        <v>2086297.0499999998</v>
      </c>
      <c r="J197" s="54">
        <v>6891133.05</v>
      </c>
      <c r="K197" s="56">
        <f t="shared" si="28"/>
        <v>0.023081161482793953</v>
      </c>
      <c r="L197" s="87">
        <f t="shared" si="24"/>
        <v>84161444.03</v>
      </c>
    </row>
    <row r="198" spans="1:12" ht="15">
      <c r="A198" s="52" t="s">
        <v>274</v>
      </c>
      <c r="B198" s="53" t="s">
        <v>276</v>
      </c>
      <c r="C198" s="84">
        <v>14052415</v>
      </c>
      <c r="D198" s="84">
        <v>5227687.15</v>
      </c>
      <c r="E198" s="84">
        <f>F198-2360</f>
        <v>3634.67</v>
      </c>
      <c r="F198" s="84">
        <v>5994.67</v>
      </c>
      <c r="G198" s="56">
        <f t="shared" si="27"/>
        <v>1.8018377884538957E-05</v>
      </c>
      <c r="H198" s="84">
        <f t="shared" si="23"/>
        <v>5221692.48</v>
      </c>
      <c r="I198" s="84">
        <f>J198-2360</f>
        <v>-0.3000000000001819</v>
      </c>
      <c r="J198" s="54">
        <v>2359.7</v>
      </c>
      <c r="K198" s="56">
        <f t="shared" si="28"/>
        <v>7.903579332421813E-06</v>
      </c>
      <c r="L198" s="57">
        <f t="shared" si="24"/>
        <v>5225327.45</v>
      </c>
    </row>
    <row r="199" spans="1:12" ht="15">
      <c r="A199" s="52" t="s">
        <v>275</v>
      </c>
      <c r="B199" s="53" t="s">
        <v>277</v>
      </c>
      <c r="C199" s="84">
        <v>1695260</v>
      </c>
      <c r="D199" s="84">
        <v>1625917</v>
      </c>
      <c r="E199" s="84">
        <f>F199-256323</f>
        <v>177478.22999999998</v>
      </c>
      <c r="F199" s="84">
        <v>433801.23</v>
      </c>
      <c r="G199" s="56">
        <f t="shared" si="27"/>
        <v>0.0013038907043953708</v>
      </c>
      <c r="H199" s="84">
        <f t="shared" si="23"/>
        <v>1192115.77</v>
      </c>
      <c r="I199" s="84">
        <f>J199-146017</f>
        <v>185395.91999999998</v>
      </c>
      <c r="J199" s="54">
        <v>331412.92</v>
      </c>
      <c r="K199" s="56">
        <f t="shared" si="28"/>
        <v>0.0011100344556551952</v>
      </c>
      <c r="L199" s="57">
        <f t="shared" si="24"/>
        <v>1294504.08</v>
      </c>
    </row>
    <row r="200" spans="1:12" ht="15">
      <c r="A200" s="52" t="s">
        <v>244</v>
      </c>
      <c r="B200" s="53" t="s">
        <v>245</v>
      </c>
      <c r="C200" s="54">
        <v>0</v>
      </c>
      <c r="D200" s="84">
        <v>0</v>
      </c>
      <c r="E200" s="54">
        <f t="shared" si="30"/>
        <v>0</v>
      </c>
      <c r="F200" s="54">
        <v>0</v>
      </c>
      <c r="G200" s="56">
        <f t="shared" si="27"/>
        <v>0</v>
      </c>
      <c r="H200" s="54">
        <f t="shared" si="23"/>
        <v>0</v>
      </c>
      <c r="I200" s="84">
        <f t="shared" si="29"/>
        <v>0</v>
      </c>
      <c r="J200" s="54">
        <v>0</v>
      </c>
      <c r="K200" s="56">
        <f t="shared" si="28"/>
        <v>0</v>
      </c>
      <c r="L200" s="57">
        <f t="shared" si="24"/>
        <v>0</v>
      </c>
    </row>
    <row r="201" spans="1:12" ht="14.25">
      <c r="A201" s="47" t="s">
        <v>175</v>
      </c>
      <c r="B201" s="50" t="s">
        <v>174</v>
      </c>
      <c r="C201" s="83">
        <f>SUM(C202:C204)</f>
        <v>27578334</v>
      </c>
      <c r="D201" s="83">
        <f>SUM(D202:D204)</f>
        <v>26124690.61</v>
      </c>
      <c r="E201" s="83">
        <f>SUM(E202:E204)</f>
        <v>1375395.8499999996</v>
      </c>
      <c r="F201" s="83">
        <f>SUM(F202:F204)</f>
        <v>4216900.85</v>
      </c>
      <c r="G201" s="51">
        <f t="shared" si="27"/>
        <v>0.012674878353092587</v>
      </c>
      <c r="H201" s="83">
        <f t="shared" si="23"/>
        <v>21907789.759999998</v>
      </c>
      <c r="I201" s="83">
        <f>SUM(I202:I204)</f>
        <v>1370471.5700000003</v>
      </c>
      <c r="J201" s="83">
        <f>SUM(J202:J204)</f>
        <v>4209918.57</v>
      </c>
      <c r="K201" s="51">
        <f t="shared" si="28"/>
        <v>0.014100701530292324</v>
      </c>
      <c r="L201" s="86">
        <f t="shared" si="24"/>
        <v>21914772.04</v>
      </c>
    </row>
    <row r="202" spans="1:12" ht="15">
      <c r="A202" s="52" t="s">
        <v>28</v>
      </c>
      <c r="B202" s="53" t="s">
        <v>33</v>
      </c>
      <c r="C202" s="84">
        <v>10981758</v>
      </c>
      <c r="D202" s="84">
        <v>10980758</v>
      </c>
      <c r="E202" s="84">
        <f>F202-2841505</f>
        <v>1375395.8499999996</v>
      </c>
      <c r="F202" s="84">
        <v>4216900.85</v>
      </c>
      <c r="G202" s="56">
        <f t="shared" si="27"/>
        <v>0.012674878353092587</v>
      </c>
      <c r="H202" s="84">
        <f t="shared" si="23"/>
        <v>6763857.15</v>
      </c>
      <c r="I202" s="84">
        <f>J202-2839447</f>
        <v>1370471.5700000003</v>
      </c>
      <c r="J202" s="84">
        <v>4209918.57</v>
      </c>
      <c r="K202" s="56">
        <f t="shared" si="28"/>
        <v>0.014100701530292324</v>
      </c>
      <c r="L202" s="87">
        <f t="shared" si="24"/>
        <v>6770839.43</v>
      </c>
    </row>
    <row r="203" spans="1:12" ht="15">
      <c r="A203" s="52" t="s">
        <v>139</v>
      </c>
      <c r="B203" s="53" t="s">
        <v>140</v>
      </c>
      <c r="C203" s="84">
        <v>900000</v>
      </c>
      <c r="D203" s="84">
        <v>900000</v>
      </c>
      <c r="E203" s="84">
        <f>F203-0</f>
        <v>0</v>
      </c>
      <c r="F203" s="84">
        <v>0</v>
      </c>
      <c r="G203" s="56">
        <f t="shared" si="27"/>
        <v>0</v>
      </c>
      <c r="H203" s="84">
        <f t="shared" si="23"/>
        <v>900000</v>
      </c>
      <c r="I203" s="84">
        <f>J203-0</f>
        <v>0</v>
      </c>
      <c r="J203" s="84">
        <v>0</v>
      </c>
      <c r="K203" s="56">
        <f t="shared" si="28"/>
        <v>0</v>
      </c>
      <c r="L203" s="87">
        <f t="shared" si="24"/>
        <v>900000</v>
      </c>
    </row>
    <row r="204" spans="1:12" ht="15">
      <c r="A204" s="52" t="s">
        <v>176</v>
      </c>
      <c r="B204" s="53" t="s">
        <v>177</v>
      </c>
      <c r="C204" s="84">
        <v>15696576</v>
      </c>
      <c r="D204" s="84">
        <v>14243932.61</v>
      </c>
      <c r="E204" s="84">
        <f>F204-0</f>
        <v>0</v>
      </c>
      <c r="F204" s="84">
        <v>0</v>
      </c>
      <c r="G204" s="56">
        <f t="shared" si="27"/>
        <v>0</v>
      </c>
      <c r="H204" s="84">
        <f t="shared" si="23"/>
        <v>14243932.61</v>
      </c>
      <c r="I204" s="84">
        <f>J204-0</f>
        <v>0</v>
      </c>
      <c r="J204" s="84">
        <v>0</v>
      </c>
      <c r="K204" s="56">
        <f t="shared" si="28"/>
        <v>0</v>
      </c>
      <c r="L204" s="87">
        <f t="shared" si="24"/>
        <v>14243932.61</v>
      </c>
    </row>
    <row r="205" spans="1:12" ht="14.25">
      <c r="A205" s="47" t="s">
        <v>178</v>
      </c>
      <c r="B205" s="50" t="s">
        <v>179</v>
      </c>
      <c r="C205" s="83">
        <f>SUM(C206:C216)</f>
        <v>219777111</v>
      </c>
      <c r="D205" s="83">
        <f>SUM(D206:D216)</f>
        <v>241672759.12</v>
      </c>
      <c r="E205" s="83">
        <f>SUM(E206:E216)</f>
        <v>9776599.55</v>
      </c>
      <c r="F205" s="83">
        <f>SUM(F206:F216)</f>
        <v>26946568.55</v>
      </c>
      <c r="G205" s="51">
        <f t="shared" si="27"/>
        <v>0.08099419231175913</v>
      </c>
      <c r="H205" s="83">
        <f t="shared" si="23"/>
        <v>214726190.57</v>
      </c>
      <c r="I205" s="83">
        <f>SUM(I206:I216)</f>
        <v>10285110.16</v>
      </c>
      <c r="J205" s="83">
        <f>SUM(J206:J216)</f>
        <v>26117762.16</v>
      </c>
      <c r="K205" s="51">
        <f t="shared" si="28"/>
        <v>0.08747883426574755</v>
      </c>
      <c r="L205" s="86">
        <f t="shared" si="24"/>
        <v>215554996.96</v>
      </c>
    </row>
    <row r="206" spans="1:12" ht="15">
      <c r="A206" s="52" t="s">
        <v>28</v>
      </c>
      <c r="B206" s="53" t="s">
        <v>33</v>
      </c>
      <c r="C206" s="84">
        <v>64682976</v>
      </c>
      <c r="D206" s="84">
        <v>70182976</v>
      </c>
      <c r="E206" s="84">
        <f>F206-15242694</f>
        <v>4753810.789999999</v>
      </c>
      <c r="F206" s="84">
        <v>19996504.79</v>
      </c>
      <c r="G206" s="56">
        <f t="shared" si="27"/>
        <v>0.06010415580444184</v>
      </c>
      <c r="H206" s="84">
        <f t="shared" si="23"/>
        <v>50186471.21</v>
      </c>
      <c r="I206" s="84">
        <f>J206-13922526</f>
        <v>5269518.6499999985</v>
      </c>
      <c r="J206" s="84">
        <v>19192044.65</v>
      </c>
      <c r="K206" s="56">
        <f t="shared" si="28"/>
        <v>0.06428183559039566</v>
      </c>
      <c r="L206" s="87">
        <f t="shared" si="24"/>
        <v>50990931.35</v>
      </c>
    </row>
    <row r="207" spans="1:12" ht="15">
      <c r="A207" s="52" t="s">
        <v>49</v>
      </c>
      <c r="B207" s="53" t="s">
        <v>56</v>
      </c>
      <c r="C207" s="84">
        <v>15975000</v>
      </c>
      <c r="D207" s="84">
        <v>13475000</v>
      </c>
      <c r="E207" s="84">
        <f>F207-16640</f>
        <v>0</v>
      </c>
      <c r="F207" s="84">
        <v>16640</v>
      </c>
      <c r="G207" s="56">
        <f t="shared" si="27"/>
        <v>5.001539834531814E-05</v>
      </c>
      <c r="H207" s="84">
        <f t="shared" si="23"/>
        <v>13458360</v>
      </c>
      <c r="I207" s="84">
        <f aca="true" t="shared" si="31" ref="I207:I216">J207-0</f>
        <v>0</v>
      </c>
      <c r="J207" s="84">
        <v>0</v>
      </c>
      <c r="K207" s="56">
        <f t="shared" si="28"/>
        <v>0</v>
      </c>
      <c r="L207" s="87">
        <f t="shared" si="24"/>
        <v>13475000</v>
      </c>
    </row>
    <row r="208" spans="1:12" ht="15">
      <c r="A208" s="52" t="s">
        <v>51</v>
      </c>
      <c r="B208" s="53" t="s">
        <v>58</v>
      </c>
      <c r="C208" s="84">
        <v>0</v>
      </c>
      <c r="D208" s="84">
        <v>0</v>
      </c>
      <c r="E208" s="84">
        <f aca="true" t="shared" si="32" ref="E208:E216">F208-0</f>
        <v>0</v>
      </c>
      <c r="F208" s="84">
        <v>0</v>
      </c>
      <c r="G208" s="56">
        <f t="shared" si="27"/>
        <v>0</v>
      </c>
      <c r="H208" s="84">
        <f t="shared" si="23"/>
        <v>0</v>
      </c>
      <c r="I208" s="84">
        <f t="shared" si="31"/>
        <v>0</v>
      </c>
      <c r="J208" s="84">
        <v>0</v>
      </c>
      <c r="K208" s="56">
        <f t="shared" si="28"/>
        <v>0</v>
      </c>
      <c r="L208" s="87">
        <f t="shared" si="24"/>
        <v>0</v>
      </c>
    </row>
    <row r="209" spans="1:12" ht="15">
      <c r="A209" s="52" t="s">
        <v>160</v>
      </c>
      <c r="B209" s="53" t="s">
        <v>161</v>
      </c>
      <c r="C209" s="84">
        <v>0</v>
      </c>
      <c r="D209" s="84">
        <v>0</v>
      </c>
      <c r="E209" s="84">
        <f t="shared" si="32"/>
        <v>0</v>
      </c>
      <c r="F209" s="84">
        <v>0</v>
      </c>
      <c r="G209" s="56">
        <f t="shared" si="27"/>
        <v>0</v>
      </c>
      <c r="H209" s="84">
        <f>D209-F209</f>
        <v>0</v>
      </c>
      <c r="I209" s="84">
        <f t="shared" si="31"/>
        <v>0</v>
      </c>
      <c r="J209" s="84">
        <v>0</v>
      </c>
      <c r="K209" s="56">
        <f t="shared" si="28"/>
        <v>0</v>
      </c>
      <c r="L209" s="87">
        <f>D209-J209</f>
        <v>0</v>
      </c>
    </row>
    <row r="210" spans="1:12" ht="15">
      <c r="A210" s="52" t="s">
        <v>97</v>
      </c>
      <c r="B210" s="53" t="s">
        <v>241</v>
      </c>
      <c r="C210" s="84">
        <v>15000</v>
      </c>
      <c r="D210" s="84">
        <v>15000</v>
      </c>
      <c r="E210" s="84">
        <f>F210-2621</f>
        <v>-302.3000000000002</v>
      </c>
      <c r="F210" s="84">
        <v>2318.7</v>
      </c>
      <c r="G210" s="56">
        <f t="shared" si="27"/>
        <v>6.969393277841897E-06</v>
      </c>
      <c r="H210" s="84">
        <f>D210-F210</f>
        <v>12681.3</v>
      </c>
      <c r="I210" s="84">
        <f>J210-2319</f>
        <v>-0.3000000000001819</v>
      </c>
      <c r="J210" s="84">
        <v>2318.7</v>
      </c>
      <c r="K210" s="56">
        <f t="shared" si="28"/>
        <v>7.766253929773469E-06</v>
      </c>
      <c r="L210" s="87">
        <f>D210-J210</f>
        <v>12681.3</v>
      </c>
    </row>
    <row r="211" spans="1:12" ht="15">
      <c r="A211" s="52" t="s">
        <v>180</v>
      </c>
      <c r="B211" s="53" t="s">
        <v>181</v>
      </c>
      <c r="C211" s="84">
        <v>69119338</v>
      </c>
      <c r="D211" s="84">
        <v>88014986.12</v>
      </c>
      <c r="E211" s="84">
        <f>F211-1899234</f>
        <v>5023090.76</v>
      </c>
      <c r="F211" s="84">
        <v>6922324.76</v>
      </c>
      <c r="G211" s="56">
        <f t="shared" si="27"/>
        <v>0.02080666047758767</v>
      </c>
      <c r="H211" s="84">
        <f>D211-F211</f>
        <v>81092661.36</v>
      </c>
      <c r="I211" s="84">
        <f>J211-1899027</f>
        <v>5015591.51</v>
      </c>
      <c r="J211" s="84">
        <v>6914618.51</v>
      </c>
      <c r="K211" s="56">
        <f t="shared" si="28"/>
        <v>0.023159823684034967</v>
      </c>
      <c r="L211" s="87">
        <f>D211-J211</f>
        <v>81100367.61</v>
      </c>
    </row>
    <row r="212" spans="1:12" ht="15">
      <c r="A212" s="52" t="s">
        <v>182</v>
      </c>
      <c r="B212" s="53" t="s">
        <v>183</v>
      </c>
      <c r="C212" s="84">
        <v>22200</v>
      </c>
      <c r="D212" s="84">
        <v>22200</v>
      </c>
      <c r="E212" s="84">
        <f>F212-8780</f>
        <v>0.2999999999992724</v>
      </c>
      <c r="F212" s="84">
        <v>8780.3</v>
      </c>
      <c r="G212" s="56">
        <f t="shared" si="27"/>
        <v>2.6391238106454135E-05</v>
      </c>
      <c r="H212" s="84">
        <f>D212-F212</f>
        <v>13419.7</v>
      </c>
      <c r="I212" s="84">
        <f>J212-8780</f>
        <v>0.2999999999992724</v>
      </c>
      <c r="J212" s="84">
        <v>8780.3</v>
      </c>
      <c r="K212" s="56">
        <f t="shared" si="28"/>
        <v>2.9408737387152285E-05</v>
      </c>
      <c r="L212" s="87">
        <f>D212-J212</f>
        <v>13419.7</v>
      </c>
    </row>
    <row r="213" spans="1:12" ht="15">
      <c r="A213" s="52" t="s">
        <v>184</v>
      </c>
      <c r="B213" s="53" t="s">
        <v>250</v>
      </c>
      <c r="C213" s="84">
        <v>542648</v>
      </c>
      <c r="D213" s="84">
        <v>542648</v>
      </c>
      <c r="E213" s="84">
        <f t="shared" si="32"/>
        <v>0</v>
      </c>
      <c r="F213" s="84">
        <v>0</v>
      </c>
      <c r="G213" s="56">
        <f t="shared" si="27"/>
        <v>0</v>
      </c>
      <c r="H213" s="84">
        <f t="shared" si="23"/>
        <v>542648</v>
      </c>
      <c r="I213" s="84">
        <f t="shared" si="31"/>
        <v>0</v>
      </c>
      <c r="J213" s="84">
        <v>0</v>
      </c>
      <c r="K213" s="56">
        <f t="shared" si="28"/>
        <v>0</v>
      </c>
      <c r="L213" s="87">
        <f t="shared" si="24"/>
        <v>542648</v>
      </c>
    </row>
    <row r="214" spans="1:12" ht="15">
      <c r="A214" s="52" t="s">
        <v>185</v>
      </c>
      <c r="B214" s="53" t="s">
        <v>186</v>
      </c>
      <c r="C214" s="84">
        <v>69375233</v>
      </c>
      <c r="D214" s="84">
        <v>69375233</v>
      </c>
      <c r="E214" s="84">
        <f t="shared" si="32"/>
        <v>0</v>
      </c>
      <c r="F214" s="84">
        <v>0</v>
      </c>
      <c r="G214" s="56">
        <f aca="true" t="shared" si="33" ref="G214:G245">(F214/$F$258)*100</f>
        <v>0</v>
      </c>
      <c r="H214" s="84">
        <f t="shared" si="23"/>
        <v>69375233</v>
      </c>
      <c r="I214" s="84">
        <f t="shared" si="31"/>
        <v>0</v>
      </c>
      <c r="J214" s="84">
        <v>0</v>
      </c>
      <c r="K214" s="56">
        <f aca="true" t="shared" si="34" ref="K214:K245">(J214/$J$258)*100</f>
        <v>0</v>
      </c>
      <c r="L214" s="87">
        <f t="shared" si="24"/>
        <v>69375233</v>
      </c>
    </row>
    <row r="215" spans="1:12" ht="15">
      <c r="A215" s="52" t="s">
        <v>187</v>
      </c>
      <c r="B215" s="53" t="s">
        <v>188</v>
      </c>
      <c r="C215" s="84">
        <v>0</v>
      </c>
      <c r="D215" s="84">
        <v>0</v>
      </c>
      <c r="E215" s="84">
        <f t="shared" si="32"/>
        <v>0</v>
      </c>
      <c r="F215" s="84">
        <v>0</v>
      </c>
      <c r="G215" s="56">
        <f t="shared" si="33"/>
        <v>0</v>
      </c>
      <c r="H215" s="84">
        <f>D215-F215</f>
        <v>0</v>
      </c>
      <c r="I215" s="84">
        <f t="shared" si="31"/>
        <v>0</v>
      </c>
      <c r="J215" s="84">
        <v>0</v>
      </c>
      <c r="K215" s="56">
        <f t="shared" si="34"/>
        <v>0</v>
      </c>
      <c r="L215" s="87">
        <f>D215-J215</f>
        <v>0</v>
      </c>
    </row>
    <row r="216" spans="1:12" ht="15">
      <c r="A216" s="52" t="s">
        <v>253</v>
      </c>
      <c r="B216" s="53" t="s">
        <v>254</v>
      </c>
      <c r="C216" s="84">
        <v>44716</v>
      </c>
      <c r="D216" s="84">
        <v>44716</v>
      </c>
      <c r="E216" s="84">
        <f t="shared" si="32"/>
        <v>0</v>
      </c>
      <c r="F216" s="84">
        <v>0</v>
      </c>
      <c r="G216" s="56">
        <f t="shared" si="33"/>
        <v>0</v>
      </c>
      <c r="H216" s="84">
        <f t="shared" si="23"/>
        <v>44716</v>
      </c>
      <c r="I216" s="84">
        <f t="shared" si="31"/>
        <v>0</v>
      </c>
      <c r="J216" s="84">
        <v>0</v>
      </c>
      <c r="K216" s="56">
        <f t="shared" si="34"/>
        <v>0</v>
      </c>
      <c r="L216" s="87">
        <f t="shared" si="24"/>
        <v>44716</v>
      </c>
    </row>
    <row r="217" spans="1:12" ht="14.25">
      <c r="A217" s="47" t="s">
        <v>189</v>
      </c>
      <c r="B217" s="50" t="s">
        <v>190</v>
      </c>
      <c r="C217" s="83">
        <f>SUM(C218:C227)</f>
        <v>274908807</v>
      </c>
      <c r="D217" s="83">
        <f>SUM(D218:D227)</f>
        <v>291460125.34000003</v>
      </c>
      <c r="E217" s="83">
        <f>SUM(E218:E227)</f>
        <v>17991863.739999995</v>
      </c>
      <c r="F217" s="83">
        <f>SUM(F218:F227)</f>
        <v>72298228.74000001</v>
      </c>
      <c r="G217" s="51">
        <f t="shared" si="33"/>
        <v>0.21730917728918442</v>
      </c>
      <c r="H217" s="83">
        <f t="shared" si="23"/>
        <v>219161896.60000002</v>
      </c>
      <c r="I217" s="83">
        <f>SUM(I218:I227)</f>
        <v>16271315.72</v>
      </c>
      <c r="J217" s="83">
        <f>SUM(J218:J227)</f>
        <v>62671455.72</v>
      </c>
      <c r="K217" s="51">
        <f t="shared" si="34"/>
        <v>0.20991177783675077</v>
      </c>
      <c r="L217" s="86">
        <f t="shared" si="24"/>
        <v>228788669.62000003</v>
      </c>
    </row>
    <row r="218" spans="1:12" ht="15">
      <c r="A218" s="52" t="s">
        <v>28</v>
      </c>
      <c r="B218" s="53" t="s">
        <v>33</v>
      </c>
      <c r="C218" s="84">
        <v>90489797</v>
      </c>
      <c r="D218" s="84">
        <v>96994975.75</v>
      </c>
      <c r="E218" s="84">
        <f>F218-24875822</f>
        <v>9540591.04</v>
      </c>
      <c r="F218" s="84">
        <v>34416413.04</v>
      </c>
      <c r="G218" s="56">
        <f t="shared" si="33"/>
        <v>0.10344655095027654</v>
      </c>
      <c r="H218" s="84">
        <f t="shared" si="23"/>
        <v>62578562.71</v>
      </c>
      <c r="I218" s="84">
        <f>J218-19983549</f>
        <v>9237657.39</v>
      </c>
      <c r="J218" s="84">
        <v>29221206.39</v>
      </c>
      <c r="K218" s="56">
        <f t="shared" si="34"/>
        <v>0.09787351057017257</v>
      </c>
      <c r="L218" s="87">
        <f t="shared" si="24"/>
        <v>67773769.36</v>
      </c>
    </row>
    <row r="219" spans="1:12" ht="15">
      <c r="A219" s="52" t="s">
        <v>39</v>
      </c>
      <c r="B219" s="53" t="s">
        <v>41</v>
      </c>
      <c r="C219" s="84">
        <v>5000</v>
      </c>
      <c r="D219" s="84">
        <v>5000</v>
      </c>
      <c r="E219" s="84">
        <f aca="true" t="shared" si="35" ref="E219:E225">F219-0</f>
        <v>0</v>
      </c>
      <c r="F219" s="84">
        <v>0</v>
      </c>
      <c r="G219" s="56">
        <f t="shared" si="33"/>
        <v>0</v>
      </c>
      <c r="H219" s="84">
        <f t="shared" si="23"/>
        <v>5000</v>
      </c>
      <c r="I219" s="84">
        <f aca="true" t="shared" si="36" ref="I219:I225">J219-0</f>
        <v>0</v>
      </c>
      <c r="J219" s="84">
        <v>0</v>
      </c>
      <c r="K219" s="56">
        <f t="shared" si="34"/>
        <v>0</v>
      </c>
      <c r="L219" s="87">
        <f t="shared" si="24"/>
        <v>5000</v>
      </c>
    </row>
    <row r="220" spans="1:12" ht="15">
      <c r="A220" s="52" t="s">
        <v>131</v>
      </c>
      <c r="B220" s="53" t="s">
        <v>132</v>
      </c>
      <c r="C220" s="84">
        <v>1164010</v>
      </c>
      <c r="D220" s="84">
        <v>1164010</v>
      </c>
      <c r="E220" s="84">
        <f>F220-69994</f>
        <v>0.020000000004074536</v>
      </c>
      <c r="F220" s="84">
        <v>69994.02</v>
      </c>
      <c r="G220" s="56">
        <f t="shared" si="33"/>
        <v>0.00021038334087080315</v>
      </c>
      <c r="H220" s="84">
        <f>D220-F220</f>
        <v>1094015.98</v>
      </c>
      <c r="I220" s="84">
        <f>J220-69994</f>
        <v>0.020000000004074536</v>
      </c>
      <c r="J220" s="84">
        <v>69994.02</v>
      </c>
      <c r="K220" s="56">
        <f t="shared" si="34"/>
        <v>0.0002344379751091745</v>
      </c>
      <c r="L220" s="87">
        <f>D220-J220</f>
        <v>1094015.98</v>
      </c>
    </row>
    <row r="221" spans="1:12" ht="15">
      <c r="A221" s="52" t="s">
        <v>83</v>
      </c>
      <c r="B221" s="53" t="s">
        <v>85</v>
      </c>
      <c r="C221" s="84">
        <v>11353566</v>
      </c>
      <c r="D221" s="84">
        <v>11353566</v>
      </c>
      <c r="E221" s="84">
        <f>F221-1249608</f>
        <v>2234965.1</v>
      </c>
      <c r="F221" s="84">
        <v>3484573.1</v>
      </c>
      <c r="G221" s="56">
        <f t="shared" si="33"/>
        <v>0.010473696614175486</v>
      </c>
      <c r="H221" s="84">
        <f>D221-F221</f>
        <v>7868992.9</v>
      </c>
      <c r="I221" s="84">
        <f>J221-1249608</f>
        <v>2234965.1</v>
      </c>
      <c r="J221" s="84">
        <v>3484573.1</v>
      </c>
      <c r="K221" s="56">
        <f t="shared" si="34"/>
        <v>0.011671229366221558</v>
      </c>
      <c r="L221" s="87">
        <f>D221-J221</f>
        <v>7868992.9</v>
      </c>
    </row>
    <row r="222" spans="1:12" ht="15">
      <c r="A222" s="52" t="s">
        <v>53</v>
      </c>
      <c r="B222" s="53" t="s">
        <v>60</v>
      </c>
      <c r="C222" s="84">
        <v>9500000</v>
      </c>
      <c r="D222" s="84">
        <v>8573000</v>
      </c>
      <c r="E222" s="84">
        <f t="shared" si="35"/>
        <v>0</v>
      </c>
      <c r="F222" s="84">
        <v>0</v>
      </c>
      <c r="G222" s="56">
        <f t="shared" si="33"/>
        <v>0</v>
      </c>
      <c r="H222" s="84">
        <f t="shared" si="23"/>
        <v>8573000</v>
      </c>
      <c r="I222" s="84">
        <f t="shared" si="36"/>
        <v>0</v>
      </c>
      <c r="J222" s="84">
        <v>0</v>
      </c>
      <c r="K222" s="56">
        <f t="shared" si="34"/>
        <v>0</v>
      </c>
      <c r="L222" s="87">
        <f t="shared" si="24"/>
        <v>8573000</v>
      </c>
    </row>
    <row r="223" spans="1:12" ht="15">
      <c r="A223" s="52" t="s">
        <v>191</v>
      </c>
      <c r="B223" s="53" t="s">
        <v>192</v>
      </c>
      <c r="C223" s="84">
        <v>13672544</v>
      </c>
      <c r="D223" s="84">
        <v>15294544</v>
      </c>
      <c r="E223" s="84">
        <f>F223-3789076</f>
        <v>1563062.7699999996</v>
      </c>
      <c r="F223" s="84">
        <v>5352138.77</v>
      </c>
      <c r="G223" s="56">
        <f t="shared" si="33"/>
        <v>0.016087100515683354</v>
      </c>
      <c r="H223" s="84">
        <f t="shared" si="23"/>
        <v>9942405.23</v>
      </c>
      <c r="I223" s="84">
        <f>J223-1614868</f>
        <v>1171286.42</v>
      </c>
      <c r="J223" s="84">
        <v>2786154.42</v>
      </c>
      <c r="K223" s="56">
        <f t="shared" si="34"/>
        <v>0.009331945794316092</v>
      </c>
      <c r="L223" s="87">
        <f t="shared" si="24"/>
        <v>12508389.58</v>
      </c>
    </row>
    <row r="224" spans="1:12" ht="15">
      <c r="A224" s="52" t="s">
        <v>244</v>
      </c>
      <c r="B224" s="53" t="s">
        <v>245</v>
      </c>
      <c r="C224" s="84">
        <v>26350</v>
      </c>
      <c r="D224" s="84">
        <v>26350</v>
      </c>
      <c r="E224" s="84">
        <f t="shared" si="35"/>
        <v>0</v>
      </c>
      <c r="F224" s="84">
        <v>0</v>
      </c>
      <c r="G224" s="56">
        <f t="shared" si="33"/>
        <v>0</v>
      </c>
      <c r="H224" s="84">
        <f t="shared" si="23"/>
        <v>26350</v>
      </c>
      <c r="I224" s="84">
        <f t="shared" si="36"/>
        <v>0</v>
      </c>
      <c r="J224" s="84">
        <v>0</v>
      </c>
      <c r="K224" s="56">
        <f t="shared" si="34"/>
        <v>0</v>
      </c>
      <c r="L224" s="87">
        <f t="shared" si="24"/>
        <v>26350</v>
      </c>
    </row>
    <row r="225" spans="1:12" ht="15">
      <c r="A225" s="52" t="s">
        <v>278</v>
      </c>
      <c r="B225" s="53" t="s">
        <v>279</v>
      </c>
      <c r="C225" s="84">
        <v>5000</v>
      </c>
      <c r="D225" s="84">
        <v>5000</v>
      </c>
      <c r="E225" s="84">
        <f t="shared" si="35"/>
        <v>0</v>
      </c>
      <c r="F225" s="84">
        <v>0</v>
      </c>
      <c r="G225" s="56">
        <f t="shared" si="33"/>
        <v>0</v>
      </c>
      <c r="H225" s="84">
        <f t="shared" si="23"/>
        <v>5000</v>
      </c>
      <c r="I225" s="84">
        <f t="shared" si="36"/>
        <v>0</v>
      </c>
      <c r="J225" s="84">
        <v>0</v>
      </c>
      <c r="K225" s="56">
        <f t="shared" si="34"/>
        <v>0</v>
      </c>
      <c r="L225" s="87">
        <f t="shared" si="24"/>
        <v>5000</v>
      </c>
    </row>
    <row r="226" spans="1:12" ht="15">
      <c r="A226" s="52" t="s">
        <v>54</v>
      </c>
      <c r="B226" s="53" t="s">
        <v>61</v>
      </c>
      <c r="C226" s="84">
        <v>148515979</v>
      </c>
      <c r="D226" s="84">
        <v>157867118.59</v>
      </c>
      <c r="E226" s="84">
        <f>F226-24320232</f>
        <v>4653244.73</v>
      </c>
      <c r="F226" s="84">
        <v>28973476.73</v>
      </c>
      <c r="G226" s="56">
        <f t="shared" si="33"/>
        <v>0.0870865372656103</v>
      </c>
      <c r="H226" s="84">
        <f t="shared" si="23"/>
        <v>128893641.86</v>
      </c>
      <c r="I226" s="84">
        <f>J226-23480488</f>
        <v>3627406.710000001</v>
      </c>
      <c r="J226" s="84">
        <v>27107894.71</v>
      </c>
      <c r="K226" s="56">
        <f t="shared" si="34"/>
        <v>0.09079518429267391</v>
      </c>
      <c r="L226" s="87">
        <f t="shared" si="24"/>
        <v>130759223.88</v>
      </c>
    </row>
    <row r="227" spans="1:12" ht="15">
      <c r="A227" s="52" t="s">
        <v>185</v>
      </c>
      <c r="B227" s="53" t="s">
        <v>186</v>
      </c>
      <c r="C227" s="84">
        <v>176561</v>
      </c>
      <c r="D227" s="84">
        <v>176561</v>
      </c>
      <c r="E227" s="84">
        <f>F227-1633</f>
        <v>0.07999999999992724</v>
      </c>
      <c r="F227" s="84">
        <v>1633.08</v>
      </c>
      <c r="G227" s="56">
        <f t="shared" si="33"/>
        <v>4.908602567894961E-06</v>
      </c>
      <c r="H227" s="84">
        <f t="shared" si="23"/>
        <v>174927.92</v>
      </c>
      <c r="I227" s="84">
        <f>J227-1633</f>
        <v>0.07999999999992724</v>
      </c>
      <c r="J227" s="84">
        <v>1633.08</v>
      </c>
      <c r="K227" s="56">
        <f t="shared" si="34"/>
        <v>5.46983825748672E-06</v>
      </c>
      <c r="L227" s="87">
        <f t="shared" si="24"/>
        <v>174927.92</v>
      </c>
    </row>
    <row r="228" spans="1:12" ht="14.25">
      <c r="A228" s="47" t="s">
        <v>193</v>
      </c>
      <c r="B228" s="50" t="s">
        <v>194</v>
      </c>
      <c r="C228" s="83">
        <f>SUM(C229:C231)</f>
        <v>10171340</v>
      </c>
      <c r="D228" s="83">
        <f>SUM(D229:D231)</f>
        <v>12024209.5</v>
      </c>
      <c r="E228" s="83">
        <f>SUM(E229:E231)</f>
        <v>1182442.96</v>
      </c>
      <c r="F228" s="83">
        <f>SUM(F229:F231)</f>
        <v>6165851.96</v>
      </c>
      <c r="G228" s="51">
        <f t="shared" si="33"/>
        <v>0.01853290516332095</v>
      </c>
      <c r="H228" s="83">
        <f t="shared" si="23"/>
        <v>5858357.54</v>
      </c>
      <c r="I228" s="83">
        <f>SUM(I229:I230)</f>
        <v>1183318.34</v>
      </c>
      <c r="J228" s="83">
        <f>SUM(J229:J230)</f>
        <v>3804613.3400000003</v>
      </c>
      <c r="K228" s="51">
        <f t="shared" si="34"/>
        <v>0.01274317216675015</v>
      </c>
      <c r="L228" s="86">
        <f t="shared" si="24"/>
        <v>8219596.16</v>
      </c>
    </row>
    <row r="229" spans="1:12" ht="15">
      <c r="A229" s="52" t="s">
        <v>28</v>
      </c>
      <c r="B229" s="53" t="s">
        <v>33</v>
      </c>
      <c r="C229" s="84">
        <v>6026742</v>
      </c>
      <c r="D229" s="84">
        <v>5389319</v>
      </c>
      <c r="E229" s="84">
        <f>F229-2633409</f>
        <v>1182442.96</v>
      </c>
      <c r="F229" s="84">
        <v>3815851.96</v>
      </c>
      <c r="G229" s="56">
        <f t="shared" si="33"/>
        <v>0.011469432440274218</v>
      </c>
      <c r="H229" s="84">
        <f t="shared" si="23"/>
        <v>1573467.04</v>
      </c>
      <c r="I229" s="84">
        <f>J229-2611582</f>
        <v>1183317.9500000002</v>
      </c>
      <c r="J229" s="84">
        <v>3794899.95</v>
      </c>
      <c r="K229" s="56">
        <f t="shared" si="34"/>
        <v>0.012710638137656724</v>
      </c>
      <c r="L229" s="87">
        <f t="shared" si="24"/>
        <v>1594419.0499999998</v>
      </c>
    </row>
    <row r="230" spans="1:12" ht="15">
      <c r="A230" s="52" t="s">
        <v>164</v>
      </c>
      <c r="B230" s="53" t="s">
        <v>165</v>
      </c>
      <c r="C230" s="84">
        <v>3018075</v>
      </c>
      <c r="D230" s="84">
        <v>5508367.5</v>
      </c>
      <c r="E230" s="84">
        <f>F230-2350000</f>
        <v>0</v>
      </c>
      <c r="F230" s="84">
        <v>2350000</v>
      </c>
      <c r="G230" s="56">
        <f t="shared" si="33"/>
        <v>0.007063472723046732</v>
      </c>
      <c r="H230" s="84">
        <f t="shared" si="23"/>
        <v>3158367.5</v>
      </c>
      <c r="I230" s="84">
        <f>J230-9713</f>
        <v>0.3899999999994179</v>
      </c>
      <c r="J230" s="84">
        <v>9713.39</v>
      </c>
      <c r="K230" s="56">
        <f t="shared" si="34"/>
        <v>3.253402909342404E-05</v>
      </c>
      <c r="L230" s="87">
        <f t="shared" si="24"/>
        <v>5498654.11</v>
      </c>
    </row>
    <row r="231" spans="1:12" ht="15">
      <c r="A231" s="52" t="s">
        <v>117</v>
      </c>
      <c r="B231" s="53" t="s">
        <v>124</v>
      </c>
      <c r="C231" s="84">
        <v>1126523</v>
      </c>
      <c r="D231" s="84">
        <v>1126523</v>
      </c>
      <c r="E231" s="84">
        <f>F231-0</f>
        <v>0</v>
      </c>
      <c r="F231" s="84">
        <v>0</v>
      </c>
      <c r="G231" s="56">
        <f t="shared" si="33"/>
        <v>0</v>
      </c>
      <c r="H231" s="84">
        <f t="shared" si="23"/>
        <v>1126523</v>
      </c>
      <c r="I231" s="84">
        <f>J231-0</f>
        <v>0</v>
      </c>
      <c r="J231" s="84">
        <v>0</v>
      </c>
      <c r="K231" s="56">
        <f t="shared" si="34"/>
        <v>0</v>
      </c>
      <c r="L231" s="87">
        <f t="shared" si="24"/>
        <v>1126523</v>
      </c>
    </row>
    <row r="232" spans="1:12" ht="14.25">
      <c r="A232" s="47" t="s">
        <v>195</v>
      </c>
      <c r="B232" s="50" t="s">
        <v>196</v>
      </c>
      <c r="C232" s="83">
        <f>SUM(C233:C242)</f>
        <v>1598616202</v>
      </c>
      <c r="D232" s="83">
        <f>SUM(D233:D242)</f>
        <v>1618953782.7700002</v>
      </c>
      <c r="E232" s="83">
        <f>SUM(E233:E242)</f>
        <v>90657719.68</v>
      </c>
      <c r="F232" s="83">
        <f>SUM(F233:F242)</f>
        <v>323420135.68</v>
      </c>
      <c r="G232" s="51">
        <f t="shared" si="33"/>
        <v>0.972114598493512</v>
      </c>
      <c r="H232" s="83">
        <f t="shared" si="23"/>
        <v>1295533647.0900002</v>
      </c>
      <c r="I232" s="83">
        <f>SUM(I233:I242)</f>
        <v>80955861.61000003</v>
      </c>
      <c r="J232" s="83">
        <f>SUM(J233:J242)</f>
        <v>263372196.60999998</v>
      </c>
      <c r="K232" s="51">
        <f t="shared" si="34"/>
        <v>0.8821388523377253</v>
      </c>
      <c r="L232" s="86">
        <f t="shared" si="24"/>
        <v>1355581586.1600003</v>
      </c>
    </row>
    <row r="233" spans="1:12" ht="15">
      <c r="A233" s="52" t="s">
        <v>28</v>
      </c>
      <c r="B233" s="53" t="s">
        <v>33</v>
      </c>
      <c r="C233" s="84">
        <v>339208304</v>
      </c>
      <c r="D233" s="84">
        <v>335986758.29</v>
      </c>
      <c r="E233" s="84">
        <f>F233-80310156</f>
        <v>37286510.58</v>
      </c>
      <c r="F233" s="84">
        <v>117596666.58</v>
      </c>
      <c r="G233" s="56">
        <f t="shared" si="33"/>
        <v>0.35346419008895796</v>
      </c>
      <c r="H233" s="84">
        <f t="shared" si="23"/>
        <v>218390091.71000004</v>
      </c>
      <c r="I233" s="84">
        <f>J233-73079110</f>
        <v>34976091.59</v>
      </c>
      <c r="J233" s="84">
        <v>108055201.59</v>
      </c>
      <c r="K233" s="56">
        <f t="shared" si="34"/>
        <v>0.36192009918523405</v>
      </c>
      <c r="L233" s="87">
        <f t="shared" si="24"/>
        <v>227931556.70000002</v>
      </c>
    </row>
    <row r="234" spans="1:12" ht="15">
      <c r="A234" s="52" t="s">
        <v>131</v>
      </c>
      <c r="B234" s="53" t="s">
        <v>266</v>
      </c>
      <c r="C234" s="84">
        <v>0</v>
      </c>
      <c r="D234" s="84">
        <v>0</v>
      </c>
      <c r="E234" s="84">
        <f aca="true" t="shared" si="37" ref="E234:E241">F234-0</f>
        <v>0</v>
      </c>
      <c r="F234" s="84">
        <v>0</v>
      </c>
      <c r="G234" s="56">
        <f t="shared" si="33"/>
        <v>0</v>
      </c>
      <c r="H234" s="84">
        <f t="shared" si="23"/>
        <v>0</v>
      </c>
      <c r="I234" s="84">
        <f aca="true" t="shared" si="38" ref="I234:I241">J234-0</f>
        <v>0</v>
      </c>
      <c r="J234" s="84">
        <v>0</v>
      </c>
      <c r="K234" s="56">
        <f t="shared" si="34"/>
        <v>0</v>
      </c>
      <c r="L234" s="87">
        <f t="shared" si="24"/>
        <v>0</v>
      </c>
    </row>
    <row r="235" spans="1:12" ht="15">
      <c r="A235" s="52" t="s">
        <v>135</v>
      </c>
      <c r="B235" s="53" t="s">
        <v>136</v>
      </c>
      <c r="C235" s="84">
        <v>311977642</v>
      </c>
      <c r="D235" s="84">
        <v>259067505.43</v>
      </c>
      <c r="E235" s="84">
        <f>F235-2606544</f>
        <v>-0.27999999979510903</v>
      </c>
      <c r="F235" s="84">
        <v>2606543.72</v>
      </c>
      <c r="G235" s="56">
        <f t="shared" si="33"/>
        <v>0.007834574667084579</v>
      </c>
      <c r="H235" s="84">
        <f t="shared" si="23"/>
        <v>256460961.71</v>
      </c>
      <c r="I235" s="84">
        <f t="shared" si="38"/>
        <v>2031203.49</v>
      </c>
      <c r="J235" s="84">
        <v>2031203.49</v>
      </c>
      <c r="K235" s="56">
        <f t="shared" si="34"/>
        <v>0.006803313100609</v>
      </c>
      <c r="L235" s="87">
        <f t="shared" si="24"/>
        <v>257036301.94</v>
      </c>
    </row>
    <row r="236" spans="1:12" ht="15">
      <c r="A236" s="52" t="s">
        <v>151</v>
      </c>
      <c r="B236" s="53" t="s">
        <v>152</v>
      </c>
      <c r="C236" s="84">
        <v>560171232</v>
      </c>
      <c r="D236" s="84">
        <v>560171232</v>
      </c>
      <c r="E236" s="84">
        <f>F236-64054748</f>
        <v>22950124.120000005</v>
      </c>
      <c r="F236" s="84">
        <v>87004872.12</v>
      </c>
      <c r="G236" s="56">
        <f t="shared" si="33"/>
        <v>0.2615134216986337</v>
      </c>
      <c r="H236" s="84">
        <f t="shared" si="23"/>
        <v>473166359.88</v>
      </c>
      <c r="I236" s="84">
        <f>J236-62569937</f>
        <v>16905124.060000002</v>
      </c>
      <c r="J236" s="84">
        <v>79475061.06</v>
      </c>
      <c r="K236" s="56">
        <f t="shared" si="34"/>
        <v>0.2661937746479543</v>
      </c>
      <c r="L236" s="87">
        <f t="shared" si="24"/>
        <v>480696170.94</v>
      </c>
    </row>
    <row r="237" spans="1:12" ht="15">
      <c r="A237" s="52" t="s">
        <v>145</v>
      </c>
      <c r="B237" s="53" t="s">
        <v>146</v>
      </c>
      <c r="C237" s="84">
        <v>5000</v>
      </c>
      <c r="D237" s="84">
        <v>5000</v>
      </c>
      <c r="E237" s="84">
        <f t="shared" si="37"/>
        <v>0</v>
      </c>
      <c r="F237" s="84">
        <v>0</v>
      </c>
      <c r="G237" s="56">
        <f t="shared" si="33"/>
        <v>0</v>
      </c>
      <c r="H237" s="84">
        <f t="shared" si="23"/>
        <v>5000</v>
      </c>
      <c r="I237" s="84">
        <f t="shared" si="38"/>
        <v>0</v>
      </c>
      <c r="J237" s="84">
        <v>0</v>
      </c>
      <c r="K237" s="56">
        <f t="shared" si="34"/>
        <v>0</v>
      </c>
      <c r="L237" s="87">
        <f t="shared" si="24"/>
        <v>5000</v>
      </c>
    </row>
    <row r="238" spans="1:12" ht="15">
      <c r="A238" s="52" t="s">
        <v>70</v>
      </c>
      <c r="B238" s="53" t="s">
        <v>78</v>
      </c>
      <c r="C238" s="84">
        <v>36516336</v>
      </c>
      <c r="D238" s="84">
        <v>36516336</v>
      </c>
      <c r="E238" s="84">
        <f t="shared" si="37"/>
        <v>0</v>
      </c>
      <c r="F238" s="84">
        <v>0</v>
      </c>
      <c r="G238" s="56">
        <f t="shared" si="33"/>
        <v>0</v>
      </c>
      <c r="H238" s="84">
        <f t="shared" si="23"/>
        <v>36516336</v>
      </c>
      <c r="I238" s="84">
        <f t="shared" si="38"/>
        <v>0</v>
      </c>
      <c r="J238" s="84">
        <v>0</v>
      </c>
      <c r="K238" s="56">
        <f t="shared" si="34"/>
        <v>0</v>
      </c>
      <c r="L238" s="87">
        <f t="shared" si="24"/>
        <v>36516336</v>
      </c>
    </row>
    <row r="239" spans="1:12" ht="15">
      <c r="A239" s="52" t="s">
        <v>71</v>
      </c>
      <c r="B239" s="53" t="s">
        <v>79</v>
      </c>
      <c r="C239" s="84">
        <v>205431755</v>
      </c>
      <c r="D239" s="84">
        <v>285349299.37</v>
      </c>
      <c r="E239" s="84">
        <f>F239-84500236</f>
        <v>30382535.510000005</v>
      </c>
      <c r="F239" s="84">
        <v>114882771.51</v>
      </c>
      <c r="G239" s="56">
        <f t="shared" si="33"/>
        <v>0.34530694591867883</v>
      </c>
      <c r="H239" s="84">
        <f t="shared" si="23"/>
        <v>170466527.86</v>
      </c>
      <c r="I239" s="84">
        <f>J239-46591386</f>
        <v>27031002.180000007</v>
      </c>
      <c r="J239" s="84">
        <v>73622388.18</v>
      </c>
      <c r="K239" s="56">
        <f t="shared" si="34"/>
        <v>0.24659083172563634</v>
      </c>
      <c r="L239" s="87">
        <f t="shared" si="24"/>
        <v>211726911.19</v>
      </c>
    </row>
    <row r="240" spans="1:12" ht="15">
      <c r="A240" s="52" t="s">
        <v>197</v>
      </c>
      <c r="B240" s="53" t="s">
        <v>198</v>
      </c>
      <c r="C240" s="84">
        <v>75810302</v>
      </c>
      <c r="D240" s="84">
        <v>75810302</v>
      </c>
      <c r="E240" s="84">
        <f>F240-1240812</f>
        <v>38549.75</v>
      </c>
      <c r="F240" s="84">
        <v>1279361.75</v>
      </c>
      <c r="G240" s="56">
        <f t="shared" si="33"/>
        <v>0.003845419925120993</v>
      </c>
      <c r="H240" s="84">
        <f t="shared" si="23"/>
        <v>74530940.25</v>
      </c>
      <c r="I240" s="84">
        <f>J240-125982</f>
        <v>12440.290000000008</v>
      </c>
      <c r="J240" s="84">
        <v>138422.29</v>
      </c>
      <c r="K240" s="56">
        <f t="shared" si="34"/>
        <v>0.00046363162706721135</v>
      </c>
      <c r="L240" s="87">
        <f t="shared" si="24"/>
        <v>75671879.71</v>
      </c>
    </row>
    <row r="241" spans="1:12" ht="15">
      <c r="A241" s="52" t="s">
        <v>199</v>
      </c>
      <c r="B241" s="53" t="s">
        <v>200</v>
      </c>
      <c r="C241" s="84">
        <v>28414283</v>
      </c>
      <c r="D241" s="84">
        <v>25115955.68</v>
      </c>
      <c r="E241" s="84">
        <f t="shared" si="37"/>
        <v>0</v>
      </c>
      <c r="F241" s="84">
        <v>0</v>
      </c>
      <c r="G241" s="56">
        <f t="shared" si="33"/>
        <v>0</v>
      </c>
      <c r="H241" s="84">
        <f t="shared" si="23"/>
        <v>25115955.68</v>
      </c>
      <c r="I241" s="84">
        <f t="shared" si="38"/>
        <v>0</v>
      </c>
      <c r="J241" s="84">
        <v>0</v>
      </c>
      <c r="K241" s="56">
        <f t="shared" si="34"/>
        <v>0</v>
      </c>
      <c r="L241" s="87">
        <f t="shared" si="24"/>
        <v>25115955.68</v>
      </c>
    </row>
    <row r="242" spans="1:12" ht="15">
      <c r="A242" s="52" t="s">
        <v>201</v>
      </c>
      <c r="B242" s="53" t="s">
        <v>202</v>
      </c>
      <c r="C242" s="84">
        <v>41081348</v>
      </c>
      <c r="D242" s="84">
        <v>40931394</v>
      </c>
      <c r="E242" s="84">
        <f>F242-49920</f>
        <v>0</v>
      </c>
      <c r="F242" s="84">
        <v>49920</v>
      </c>
      <c r="G242" s="56">
        <f t="shared" si="33"/>
        <v>0.00015004619503595443</v>
      </c>
      <c r="H242" s="84">
        <f t="shared" si="23"/>
        <v>40881474</v>
      </c>
      <c r="I242" s="84">
        <f>J242-49920</f>
        <v>0</v>
      </c>
      <c r="J242" s="84">
        <v>49920</v>
      </c>
      <c r="K242" s="56">
        <f t="shared" si="34"/>
        <v>0.00016720205122451877</v>
      </c>
      <c r="L242" s="87">
        <f t="shared" si="24"/>
        <v>40881474</v>
      </c>
    </row>
    <row r="243" spans="1:12" ht="14.25">
      <c r="A243" s="47" t="s">
        <v>203</v>
      </c>
      <c r="B243" s="50" t="s">
        <v>204</v>
      </c>
      <c r="C243" s="83">
        <f>SUM(C244:C247)</f>
        <v>79893090</v>
      </c>
      <c r="D243" s="83">
        <f>SUM(D244:D247)</f>
        <v>78652908.25</v>
      </c>
      <c r="E243" s="83">
        <f>SUM(E244:E247)</f>
        <v>2664518.3600000003</v>
      </c>
      <c r="F243" s="83">
        <f>SUM(F244:F247)</f>
        <v>6767908.36</v>
      </c>
      <c r="G243" s="51">
        <f t="shared" si="33"/>
        <v>0.020342525996995722</v>
      </c>
      <c r="H243" s="83">
        <f t="shared" si="23"/>
        <v>71884999.89</v>
      </c>
      <c r="I243" s="83">
        <f>SUM(I244:I247)</f>
        <v>2666728.5300000003</v>
      </c>
      <c r="J243" s="83">
        <f>SUM(J244:J247)</f>
        <v>6730575.53</v>
      </c>
      <c r="K243" s="51">
        <f t="shared" si="34"/>
        <v>0.022543390114934947</v>
      </c>
      <c r="L243" s="86">
        <f t="shared" si="24"/>
        <v>71922332.72</v>
      </c>
    </row>
    <row r="244" spans="1:12" ht="15">
      <c r="A244" s="52" t="s">
        <v>28</v>
      </c>
      <c r="B244" s="53" t="s">
        <v>33</v>
      </c>
      <c r="C244" s="84">
        <v>13330509</v>
      </c>
      <c r="D244" s="84">
        <v>13664917.2</v>
      </c>
      <c r="E244" s="84">
        <f>F244-3585242</f>
        <v>2509458.4800000004</v>
      </c>
      <c r="F244" s="84">
        <v>6094700.48</v>
      </c>
      <c r="G244" s="56">
        <f t="shared" si="33"/>
        <v>0.018319042806646736</v>
      </c>
      <c r="H244" s="84">
        <f t="shared" si="23"/>
        <v>7570216.719999999</v>
      </c>
      <c r="I244" s="84">
        <f>J244-3545699</f>
        <v>2511668.6500000004</v>
      </c>
      <c r="J244" s="84">
        <v>6057367.65</v>
      </c>
      <c r="K244" s="56">
        <f t="shared" si="34"/>
        <v>0.02028854759817794</v>
      </c>
      <c r="L244" s="87">
        <f t="shared" si="24"/>
        <v>7607549.549999999</v>
      </c>
    </row>
    <row r="245" spans="1:12" ht="15">
      <c r="A245" s="52" t="s">
        <v>205</v>
      </c>
      <c r="B245" s="53" t="s">
        <v>206</v>
      </c>
      <c r="C245" s="84">
        <v>255000</v>
      </c>
      <c r="D245" s="84">
        <v>255000</v>
      </c>
      <c r="E245" s="84">
        <f>F245-0</f>
        <v>0</v>
      </c>
      <c r="F245" s="84">
        <v>0</v>
      </c>
      <c r="G245" s="56">
        <f t="shared" si="33"/>
        <v>0</v>
      </c>
      <c r="H245" s="84">
        <f t="shared" si="23"/>
        <v>255000</v>
      </c>
      <c r="I245" s="84">
        <f>J245-0</f>
        <v>0</v>
      </c>
      <c r="J245" s="84">
        <v>0</v>
      </c>
      <c r="K245" s="56">
        <f t="shared" si="34"/>
        <v>0</v>
      </c>
      <c r="L245" s="87">
        <f t="shared" si="24"/>
        <v>255000</v>
      </c>
    </row>
    <row r="246" spans="1:12" ht="15">
      <c r="A246" s="52" t="s">
        <v>207</v>
      </c>
      <c r="B246" s="53" t="s">
        <v>208</v>
      </c>
      <c r="C246" s="84">
        <v>54474757</v>
      </c>
      <c r="D246" s="84">
        <v>52900167.05</v>
      </c>
      <c r="E246" s="84">
        <f>F246-516447</f>
        <v>155060.07999999996</v>
      </c>
      <c r="F246" s="84">
        <v>671507.08</v>
      </c>
      <c r="G246" s="56">
        <f aca="true" t="shared" si="39" ref="G246:G257">(F246/$F$258)*100</f>
        <v>0.0020183710395373445</v>
      </c>
      <c r="H246" s="84">
        <f t="shared" si="23"/>
        <v>52228659.97</v>
      </c>
      <c r="I246" s="84">
        <f>J246-516447</f>
        <v>155060.07999999996</v>
      </c>
      <c r="J246" s="84">
        <v>671507.08</v>
      </c>
      <c r="K246" s="56">
        <f aca="true" t="shared" si="40" ref="K246:K257">(J246/$J$258)*100</f>
        <v>0.0022491458571271437</v>
      </c>
      <c r="L246" s="87">
        <f t="shared" si="24"/>
        <v>52228659.97</v>
      </c>
    </row>
    <row r="247" spans="1:12" ht="15">
      <c r="A247" s="52" t="s">
        <v>209</v>
      </c>
      <c r="B247" s="53" t="s">
        <v>210</v>
      </c>
      <c r="C247" s="84">
        <v>11832824</v>
      </c>
      <c r="D247" s="84">
        <v>11832824</v>
      </c>
      <c r="E247" s="84">
        <f>F247-1701</f>
        <v>-0.20000000000004547</v>
      </c>
      <c r="F247" s="84">
        <v>1700.8</v>
      </c>
      <c r="G247" s="56">
        <f t="shared" si="39"/>
        <v>5.112150811641652E-06</v>
      </c>
      <c r="H247" s="84">
        <f t="shared" si="23"/>
        <v>11831123.2</v>
      </c>
      <c r="I247" s="56">
        <f>J247-1701</f>
        <v>-0.20000000000004547</v>
      </c>
      <c r="J247" s="84">
        <v>1700.8</v>
      </c>
      <c r="K247" s="56">
        <f t="shared" si="40"/>
        <v>5.696659629861007E-06</v>
      </c>
      <c r="L247" s="87">
        <f aca="true" t="shared" si="41" ref="L247:L333">D247-J247</f>
        <v>11831123.2</v>
      </c>
    </row>
    <row r="248" spans="1:12" ht="14.25">
      <c r="A248" s="47" t="s">
        <v>211</v>
      </c>
      <c r="B248" s="50" t="s">
        <v>212</v>
      </c>
      <c r="C248" s="83">
        <f>SUM(C249:C253)</f>
        <v>8583470986</v>
      </c>
      <c r="D248" s="83">
        <f>SUM(D249:D253)</f>
        <v>8402476782.440001</v>
      </c>
      <c r="E248" s="83">
        <f>SUM(E249:E253)</f>
        <v>308128800.49</v>
      </c>
      <c r="F248" s="83">
        <f>SUM(F249:F253)</f>
        <v>1342072751.49</v>
      </c>
      <c r="G248" s="51">
        <f t="shared" si="39"/>
        <v>4.03391245638038</v>
      </c>
      <c r="H248" s="83">
        <f t="shared" si="23"/>
        <v>7060404030.950001</v>
      </c>
      <c r="I248" s="83">
        <f>SUM(I249:I253)</f>
        <v>257734926.49</v>
      </c>
      <c r="J248" s="83">
        <f>SUM(J249:J253)</f>
        <v>1291678877.49</v>
      </c>
      <c r="K248" s="51">
        <f t="shared" si="40"/>
        <v>4.326349315699356</v>
      </c>
      <c r="L248" s="86">
        <f t="shared" si="41"/>
        <v>7110797904.950001</v>
      </c>
    </row>
    <row r="249" spans="1:12" ht="15">
      <c r="A249" s="52" t="s">
        <v>39</v>
      </c>
      <c r="B249" s="53" t="s">
        <v>41</v>
      </c>
      <c r="C249" s="84">
        <v>1207174000</v>
      </c>
      <c r="D249" s="84">
        <v>1016189368.59</v>
      </c>
      <c r="E249" s="84">
        <f>F249-341745133</f>
        <v>166267748.83999997</v>
      </c>
      <c r="F249" s="84">
        <v>508012881.84</v>
      </c>
      <c r="G249" s="56">
        <f t="shared" si="39"/>
        <v>1.526951120780086</v>
      </c>
      <c r="H249" s="84">
        <f aca="true" t="shared" si="42" ref="H249:H323">D249-F249</f>
        <v>508176486.75000006</v>
      </c>
      <c r="I249" s="84">
        <f>J249-341745133</f>
        <v>115873874.83999997</v>
      </c>
      <c r="J249" s="84">
        <v>457619007.84</v>
      </c>
      <c r="K249" s="56">
        <f t="shared" si="40"/>
        <v>1.5327491344186122</v>
      </c>
      <c r="L249" s="87">
        <f t="shared" si="41"/>
        <v>558570360.75</v>
      </c>
    </row>
    <row r="250" spans="1:12" ht="15">
      <c r="A250" s="52" t="s">
        <v>213</v>
      </c>
      <c r="B250" s="53" t="s">
        <v>214</v>
      </c>
      <c r="C250" s="84">
        <v>140384971</v>
      </c>
      <c r="D250" s="84">
        <v>140099003.54</v>
      </c>
      <c r="E250" s="84">
        <f>F250-5204492</f>
        <v>1260331.54</v>
      </c>
      <c r="F250" s="84">
        <v>6464823.54</v>
      </c>
      <c r="G250" s="56">
        <f t="shared" si="39"/>
        <v>0.019431533929404433</v>
      </c>
      <c r="H250" s="84">
        <f t="shared" si="42"/>
        <v>133634179.99999999</v>
      </c>
      <c r="I250" s="84">
        <f>J250-5204492</f>
        <v>1260331.54</v>
      </c>
      <c r="J250" s="84">
        <v>6464823.54</v>
      </c>
      <c r="K250" s="56">
        <f t="shared" si="40"/>
        <v>0.021653280382463037</v>
      </c>
      <c r="L250" s="87">
        <f t="shared" si="41"/>
        <v>133634179.99999999</v>
      </c>
    </row>
    <row r="251" spans="1:12" ht="15">
      <c r="A251" s="52" t="s">
        <v>215</v>
      </c>
      <c r="B251" s="53" t="s">
        <v>216</v>
      </c>
      <c r="C251" s="84">
        <v>5860471022</v>
      </c>
      <c r="D251" s="84">
        <v>5860756989.46</v>
      </c>
      <c r="E251" s="84">
        <f>F251-312082853</f>
        <v>59453185.19999999</v>
      </c>
      <c r="F251" s="84">
        <v>371536038.2</v>
      </c>
      <c r="G251" s="56">
        <f t="shared" si="39"/>
        <v>1.1167381580657654</v>
      </c>
      <c r="H251" s="84">
        <f t="shared" si="42"/>
        <v>5489220951.26</v>
      </c>
      <c r="I251" s="84">
        <f>J251-312082853</f>
        <v>59453185.19999999</v>
      </c>
      <c r="J251" s="84">
        <v>371536038.2</v>
      </c>
      <c r="K251" s="56">
        <f t="shared" si="40"/>
        <v>1.2444228303459768</v>
      </c>
      <c r="L251" s="87">
        <f t="shared" si="41"/>
        <v>5489220951.26</v>
      </c>
    </row>
    <row r="252" spans="1:12" ht="15">
      <c r="A252" s="52" t="s">
        <v>217</v>
      </c>
      <c r="B252" s="53" t="s">
        <v>218</v>
      </c>
      <c r="C252" s="84">
        <v>476872299</v>
      </c>
      <c r="D252" s="84">
        <v>476872299</v>
      </c>
      <c r="E252" s="84">
        <f>F252-0</f>
        <v>0</v>
      </c>
      <c r="F252" s="84">
        <v>0</v>
      </c>
      <c r="G252" s="56">
        <f t="shared" si="39"/>
        <v>0</v>
      </c>
      <c r="H252" s="84">
        <f t="shared" si="42"/>
        <v>476872299</v>
      </c>
      <c r="I252" s="84">
        <f>J252-0</f>
        <v>0</v>
      </c>
      <c r="J252" s="84">
        <v>0</v>
      </c>
      <c r="K252" s="56">
        <f t="shared" si="40"/>
        <v>0</v>
      </c>
      <c r="L252" s="87">
        <f t="shared" si="41"/>
        <v>476872299</v>
      </c>
    </row>
    <row r="253" spans="1:12" ht="15">
      <c r="A253" s="52" t="s">
        <v>219</v>
      </c>
      <c r="B253" s="53" t="s">
        <v>220</v>
      </c>
      <c r="C253" s="84">
        <v>898568694</v>
      </c>
      <c r="D253" s="84">
        <v>908559121.85</v>
      </c>
      <c r="E253" s="84">
        <f>F253-374911473</f>
        <v>81147534.91000003</v>
      </c>
      <c r="F253" s="84">
        <v>456059007.91</v>
      </c>
      <c r="G253" s="56">
        <f t="shared" si="39"/>
        <v>1.370791643605123</v>
      </c>
      <c r="H253" s="84">
        <f t="shared" si="42"/>
        <v>452500113.94</v>
      </c>
      <c r="I253" s="84">
        <f>J253-374911473</f>
        <v>81147534.91000003</v>
      </c>
      <c r="J253" s="84">
        <v>456059007.91</v>
      </c>
      <c r="K253" s="56">
        <f t="shared" si="40"/>
        <v>1.5275240705523043</v>
      </c>
      <c r="L253" s="87">
        <f t="shared" si="41"/>
        <v>452500113.94</v>
      </c>
    </row>
    <row r="254" spans="1:12" ht="14.25">
      <c r="A254" s="47" t="s">
        <v>221</v>
      </c>
      <c r="B254" s="50" t="s">
        <v>222</v>
      </c>
      <c r="C254" s="83">
        <f>SUM(C255:C256)</f>
        <v>482946944</v>
      </c>
      <c r="D254" s="83">
        <f>SUM(D255:D256)</f>
        <v>482946944</v>
      </c>
      <c r="E254" s="83">
        <f>SUM(E255:E256)</f>
        <v>0</v>
      </c>
      <c r="F254" s="83">
        <f>SUM(F255:F256)</f>
        <v>0</v>
      </c>
      <c r="G254" s="51">
        <f t="shared" si="39"/>
        <v>0</v>
      </c>
      <c r="H254" s="83">
        <f t="shared" si="42"/>
        <v>482946944</v>
      </c>
      <c r="I254" s="83">
        <f>SUM(I255:I256)</f>
        <v>0</v>
      </c>
      <c r="J254" s="83">
        <f>J255+J256</f>
        <v>0</v>
      </c>
      <c r="K254" s="51">
        <f t="shared" si="40"/>
        <v>0</v>
      </c>
      <c r="L254" s="86">
        <f t="shared" si="41"/>
        <v>482946944</v>
      </c>
    </row>
    <row r="255" spans="1:12" ht="15">
      <c r="A255" s="52" t="s">
        <v>246</v>
      </c>
      <c r="B255" s="66" t="s">
        <v>247</v>
      </c>
      <c r="C255" s="84">
        <v>480446944</v>
      </c>
      <c r="D255" s="92">
        <v>480446944</v>
      </c>
      <c r="E255" s="84">
        <f>F255-0</f>
        <v>0</v>
      </c>
      <c r="F255" s="84">
        <v>0</v>
      </c>
      <c r="G255" s="56">
        <f t="shared" si="39"/>
        <v>0</v>
      </c>
      <c r="H255" s="84">
        <f t="shared" si="42"/>
        <v>480446944</v>
      </c>
      <c r="I255" s="84">
        <f>J255-0</f>
        <v>0</v>
      </c>
      <c r="J255" s="84">
        <v>0</v>
      </c>
      <c r="K255" s="56">
        <f t="shared" si="40"/>
        <v>0</v>
      </c>
      <c r="L255" s="87">
        <f t="shared" si="41"/>
        <v>480446944</v>
      </c>
    </row>
    <row r="256" spans="1:12" ht="15">
      <c r="A256" s="52" t="s">
        <v>223</v>
      </c>
      <c r="B256" s="53" t="s">
        <v>224</v>
      </c>
      <c r="C256" s="84">
        <v>2500000</v>
      </c>
      <c r="D256" s="84">
        <v>2500000</v>
      </c>
      <c r="E256" s="84">
        <f>F256-0</f>
        <v>0</v>
      </c>
      <c r="F256" s="84">
        <v>0</v>
      </c>
      <c r="G256" s="56">
        <f t="shared" si="39"/>
        <v>0</v>
      </c>
      <c r="H256" s="84">
        <f t="shared" si="42"/>
        <v>2500000</v>
      </c>
      <c r="I256" s="84">
        <f>J256-0</f>
        <v>0</v>
      </c>
      <c r="J256" s="84">
        <v>0</v>
      </c>
      <c r="K256" s="56">
        <f t="shared" si="40"/>
        <v>0</v>
      </c>
      <c r="L256" s="87">
        <f t="shared" si="41"/>
        <v>2500000</v>
      </c>
    </row>
    <row r="257" spans="1:12" ht="14.25">
      <c r="A257" s="47"/>
      <c r="B257" s="50" t="s">
        <v>16</v>
      </c>
      <c r="C257" s="83">
        <f>C274</f>
        <v>6040339444</v>
      </c>
      <c r="D257" s="83">
        <f>D274</f>
        <v>6719745712.43</v>
      </c>
      <c r="E257" s="83">
        <f>E274</f>
        <v>680383851.7899998</v>
      </c>
      <c r="F257" s="83">
        <f>F274</f>
        <v>2481440910.79</v>
      </c>
      <c r="G257" s="51">
        <f t="shared" si="39"/>
        <v>7.458549015837193</v>
      </c>
      <c r="H257" s="83">
        <f>D257-F257</f>
        <v>4238304801.6400003</v>
      </c>
      <c r="I257" s="83">
        <f>I274</f>
        <v>622813929.0699999</v>
      </c>
      <c r="J257" s="83">
        <f>J274</f>
        <v>2220345079.87</v>
      </c>
      <c r="K257" s="51">
        <f t="shared" si="40"/>
        <v>7.436823953936937</v>
      </c>
      <c r="L257" s="86">
        <f t="shared" si="41"/>
        <v>4499400632.56</v>
      </c>
    </row>
    <row r="258" spans="1:12" ht="14.25">
      <c r="A258" s="109" t="s">
        <v>225</v>
      </c>
      <c r="B258" s="110"/>
      <c r="C258" s="98">
        <f aca="true" t="shared" si="43" ref="C258:L258">C14+C257</f>
        <v>83329210649</v>
      </c>
      <c r="D258" s="98">
        <f t="shared" si="43"/>
        <v>87451250534.47</v>
      </c>
      <c r="E258" s="98">
        <f t="shared" si="43"/>
        <v>10415626170.72</v>
      </c>
      <c r="F258" s="98">
        <f t="shared" si="43"/>
        <v>33269754016.780003</v>
      </c>
      <c r="G258" s="98">
        <f t="shared" si="43"/>
        <v>99.99999999999999</v>
      </c>
      <c r="H258" s="98">
        <f t="shared" si="43"/>
        <v>54181496517.69</v>
      </c>
      <c r="I258" s="98">
        <f t="shared" si="43"/>
        <v>10555882611.230003</v>
      </c>
      <c r="J258" s="98">
        <f t="shared" si="43"/>
        <v>29856093052.929996</v>
      </c>
      <c r="K258" s="98">
        <f t="shared" si="43"/>
        <v>100</v>
      </c>
      <c r="L258" s="99">
        <f t="shared" si="43"/>
        <v>57595157481.54001</v>
      </c>
    </row>
    <row r="259" spans="1:12" ht="15">
      <c r="A259" s="69"/>
      <c r="B259" s="69"/>
      <c r="C259" s="69"/>
      <c r="D259" s="69"/>
      <c r="E259" s="69"/>
      <c r="F259" s="70"/>
      <c r="G259" s="71"/>
      <c r="H259" s="70"/>
      <c r="I259" s="70"/>
      <c r="J259" s="70"/>
      <c r="K259" s="71"/>
      <c r="L259" s="65" t="s">
        <v>226</v>
      </c>
    </row>
    <row r="260" spans="1:12" ht="15">
      <c r="A260" s="69"/>
      <c r="B260" s="69"/>
      <c r="C260" s="69"/>
      <c r="D260" s="69"/>
      <c r="E260" s="69"/>
      <c r="F260" s="70"/>
      <c r="G260" s="71"/>
      <c r="H260" s="70"/>
      <c r="I260" s="70"/>
      <c r="J260" s="70"/>
      <c r="K260" s="71"/>
      <c r="L260" s="65"/>
    </row>
    <row r="261" spans="1:12" ht="15.75">
      <c r="A261" s="34"/>
      <c r="B261" s="35"/>
      <c r="C261" s="36"/>
      <c r="D261" s="36"/>
      <c r="E261" s="36"/>
      <c r="F261" s="37"/>
      <c r="G261" s="38"/>
      <c r="H261" s="37"/>
      <c r="I261" s="37"/>
      <c r="J261" s="37"/>
      <c r="K261" s="38"/>
      <c r="L261" s="37"/>
    </row>
    <row r="262" spans="1:12" ht="15.75">
      <c r="A262" s="34"/>
      <c r="B262" s="35"/>
      <c r="C262" s="36"/>
      <c r="D262" s="36"/>
      <c r="E262" s="36"/>
      <c r="F262" s="37"/>
      <c r="G262" s="38"/>
      <c r="H262" s="37"/>
      <c r="I262" s="37"/>
      <c r="J262" s="37"/>
      <c r="K262" s="38"/>
      <c r="L262" s="37"/>
    </row>
    <row r="263" spans="1:12" ht="15.75">
      <c r="A263" s="31"/>
      <c r="B263" s="28"/>
      <c r="C263" s="32"/>
      <c r="D263" s="32"/>
      <c r="E263" s="32"/>
      <c r="F263" s="32"/>
      <c r="G263" s="33"/>
      <c r="H263" s="32"/>
      <c r="I263" s="32"/>
      <c r="J263" s="32"/>
      <c r="K263" s="33"/>
      <c r="L263" s="25" t="s">
        <v>157</v>
      </c>
    </row>
    <row r="264" spans="1:12" ht="15.75">
      <c r="A264" s="103" t="s">
        <v>14</v>
      </c>
      <c r="B264" s="103"/>
      <c r="C264" s="103"/>
      <c r="D264" s="103"/>
      <c r="E264" s="103"/>
      <c r="F264" s="103"/>
      <c r="G264" s="103"/>
      <c r="H264" s="103"/>
      <c r="I264" s="103"/>
      <c r="J264" s="103"/>
      <c r="K264" s="103"/>
      <c r="L264" s="103"/>
    </row>
    <row r="265" spans="1:12" ht="15.75">
      <c r="A265" s="103" t="s">
        <v>0</v>
      </c>
      <c r="B265" s="103"/>
      <c r="C265" s="103"/>
      <c r="D265" s="103"/>
      <c r="E265" s="103"/>
      <c r="F265" s="103"/>
      <c r="G265" s="103"/>
      <c r="H265" s="103"/>
      <c r="I265" s="103"/>
      <c r="J265" s="103"/>
      <c r="K265" s="103"/>
      <c r="L265" s="103"/>
    </row>
    <row r="266" spans="1:12" ht="15.75">
      <c r="A266" s="104" t="s">
        <v>1</v>
      </c>
      <c r="B266" s="104"/>
      <c r="C266" s="104"/>
      <c r="D266" s="104"/>
      <c r="E266" s="104"/>
      <c r="F266" s="104"/>
      <c r="G266" s="104"/>
      <c r="H266" s="104"/>
      <c r="I266" s="104"/>
      <c r="J266" s="104"/>
      <c r="K266" s="104"/>
      <c r="L266" s="104"/>
    </row>
    <row r="267" spans="1:12" ht="15.75">
      <c r="A267" s="103" t="s">
        <v>2</v>
      </c>
      <c r="B267" s="103"/>
      <c r="C267" s="103"/>
      <c r="D267" s="103"/>
      <c r="E267" s="103"/>
      <c r="F267" s="103"/>
      <c r="G267" s="103"/>
      <c r="H267" s="103"/>
      <c r="I267" s="103"/>
      <c r="J267" s="103"/>
      <c r="K267" s="103"/>
      <c r="L267" s="103"/>
    </row>
    <row r="268" spans="1:12" ht="15.75">
      <c r="A268" s="103" t="str">
        <f>A136</f>
        <v>JANEIRO A JUNHO 2020/BIMESTRE MAIO-JUNHO</v>
      </c>
      <c r="B268" s="103"/>
      <c r="C268" s="103"/>
      <c r="D268" s="103"/>
      <c r="E268" s="103"/>
      <c r="F268" s="103"/>
      <c r="G268" s="103"/>
      <c r="H268" s="103"/>
      <c r="I268" s="103"/>
      <c r="J268" s="103"/>
      <c r="K268" s="103"/>
      <c r="L268" s="103"/>
    </row>
    <row r="269" spans="1:12" ht="15.75">
      <c r="A269" s="24"/>
      <c r="B269" s="24"/>
      <c r="C269" s="24"/>
      <c r="D269" s="24"/>
      <c r="E269" s="24"/>
      <c r="F269" s="24"/>
      <c r="G269" s="24"/>
      <c r="H269" s="24"/>
      <c r="I269" s="24"/>
      <c r="J269" s="24"/>
      <c r="K269" s="24"/>
      <c r="L269" s="25" t="str">
        <f>L137</f>
        <v>Emissão: 20/07/2020</v>
      </c>
    </row>
    <row r="270" spans="1:12" ht="15.75">
      <c r="A270" s="27" t="s">
        <v>240</v>
      </c>
      <c r="B270" s="26"/>
      <c r="C270" s="28"/>
      <c r="D270" s="26"/>
      <c r="E270" s="26"/>
      <c r="F270" s="29"/>
      <c r="G270" s="29"/>
      <c r="H270" s="29"/>
      <c r="I270" s="26"/>
      <c r="J270" s="26"/>
      <c r="K270" s="25"/>
      <c r="L270" s="30">
        <v>1</v>
      </c>
    </row>
    <row r="271" spans="1:12" ht="15.75">
      <c r="A271" s="11"/>
      <c r="B271" s="12"/>
      <c r="C271" s="13" t="s">
        <v>3</v>
      </c>
      <c r="D271" s="13" t="s">
        <v>3</v>
      </c>
      <c r="E271" s="105" t="s">
        <v>4</v>
      </c>
      <c r="F271" s="106"/>
      <c r="G271" s="107"/>
      <c r="H271" s="13" t="s">
        <v>18</v>
      </c>
      <c r="I271" s="105" t="s">
        <v>5</v>
      </c>
      <c r="J271" s="106"/>
      <c r="K271" s="107"/>
      <c r="L271" s="14" t="s">
        <v>18</v>
      </c>
    </row>
    <row r="272" spans="1:12" ht="15.75">
      <c r="A272" s="15" t="s">
        <v>23</v>
      </c>
      <c r="B272" s="16" t="s">
        <v>269</v>
      </c>
      <c r="C272" s="16" t="s">
        <v>7</v>
      </c>
      <c r="D272" s="16" t="s">
        <v>8</v>
      </c>
      <c r="E272" s="16" t="s">
        <v>9</v>
      </c>
      <c r="F272" s="16" t="s">
        <v>10</v>
      </c>
      <c r="G272" s="16" t="s">
        <v>11</v>
      </c>
      <c r="H272" s="17"/>
      <c r="I272" s="16" t="s">
        <v>9</v>
      </c>
      <c r="J272" s="16" t="s">
        <v>10</v>
      </c>
      <c r="K272" s="16" t="s">
        <v>11</v>
      </c>
      <c r="L272" s="18"/>
    </row>
    <row r="273" spans="1:12" ht="15.75">
      <c r="A273" s="19"/>
      <c r="B273" s="20"/>
      <c r="C273" s="20"/>
      <c r="D273" s="21" t="s">
        <v>12</v>
      </c>
      <c r="E273" s="21"/>
      <c r="F273" s="21" t="s">
        <v>13</v>
      </c>
      <c r="G273" s="21" t="s">
        <v>270</v>
      </c>
      <c r="H273" s="22" t="s">
        <v>19</v>
      </c>
      <c r="I273" s="21"/>
      <c r="J273" s="21" t="s">
        <v>20</v>
      </c>
      <c r="K273" s="21" t="s">
        <v>271</v>
      </c>
      <c r="L273" s="23" t="s">
        <v>22</v>
      </c>
    </row>
    <row r="274" spans="1:12" ht="14.25">
      <c r="A274" s="47"/>
      <c r="B274" s="72" t="s">
        <v>16</v>
      </c>
      <c r="C274" s="93">
        <f>C275+C279+C282+C287+C291+C296+C300+C302+C306+C308+C314+C316+C318+C320+C322+C324+C326+C330+C334+C336+C338+C340+C342+C345</f>
        <v>6040339444</v>
      </c>
      <c r="D274" s="93">
        <f>D275+D279+D282+D287+D291+D296+D300+D302+D306+D308+D314+D316+D318+D320+D322+D324+D326+D330+D334+D336+D338+D340+D342+D345</f>
        <v>6719745712.43</v>
      </c>
      <c r="E274" s="93">
        <f>E275+E279+E282+E287+E291+E296+E300+E302+E306+E308+E314+E316+E318+E320+E322+E324+E326+E330+E334+E336+E338+E340+E342+E345</f>
        <v>680383851.7899998</v>
      </c>
      <c r="F274" s="93">
        <f>F275+F279+F282+F287+F291+F296+F300+F302+F306+F308+F314+F316+F318+F320+F322+F324+F326+F330+F334+F336+F338+F340+F342+F345</f>
        <v>2481440910.79</v>
      </c>
      <c r="G274" s="71">
        <f aca="true" t="shared" si="44" ref="G274:G298">(F274/$F$258)*100</f>
        <v>7.458549015837193</v>
      </c>
      <c r="H274" s="93">
        <f>D274-F274</f>
        <v>4238304801.6400003</v>
      </c>
      <c r="I274" s="93">
        <f>I275+I279+I282+I287+I291+I296+I300+I302+I306+I308+I314+I316+I318+I320+I322+I324+I326+I330+I334+I336+I338+I340+I342+I345</f>
        <v>622813929.0699999</v>
      </c>
      <c r="J274" s="93">
        <f>J275+J279+J282+J287+J291+J296+J300+J302+J306+J308+J314+J316+J318+J320+J322+J324+J326+J330+J334+J336+J338+J340+J342+J345</f>
        <v>2220345079.87</v>
      </c>
      <c r="K274" s="73">
        <f aca="true" t="shared" si="45" ref="K274:K298">(J274/$J$258)*100</f>
        <v>7.436823953936937</v>
      </c>
      <c r="L274" s="94">
        <f>D274-J274</f>
        <v>4499400632.56</v>
      </c>
    </row>
    <row r="275" spans="1:12" ht="14.25">
      <c r="A275" s="47" t="s">
        <v>25</v>
      </c>
      <c r="B275" s="72" t="s">
        <v>24</v>
      </c>
      <c r="C275" s="83">
        <f>SUM(C276:C278)</f>
        <v>157460000</v>
      </c>
      <c r="D275" s="83">
        <f>SUM(D276:D278)</f>
        <v>177460000</v>
      </c>
      <c r="E275" s="83">
        <f>SUM(E276:E278)</f>
        <v>7708592.720000002</v>
      </c>
      <c r="F275" s="83">
        <f>SUM(F276:F278)</f>
        <v>66091550.72</v>
      </c>
      <c r="G275" s="71">
        <f t="shared" si="44"/>
        <v>0.19865355988705513</v>
      </c>
      <c r="H275" s="83">
        <f t="shared" si="42"/>
        <v>111368449.28</v>
      </c>
      <c r="I275" s="83">
        <f>SUM(I276:I278)</f>
        <v>19573771.910000004</v>
      </c>
      <c r="J275" s="83">
        <f>SUM(J276:J278)</f>
        <v>57694994.910000004</v>
      </c>
      <c r="K275" s="51">
        <f t="shared" si="45"/>
        <v>0.19324361967828868</v>
      </c>
      <c r="L275" s="94">
        <f t="shared" si="41"/>
        <v>119765005.09</v>
      </c>
    </row>
    <row r="276" spans="1:12" ht="15">
      <c r="A276" s="52" t="s">
        <v>26</v>
      </c>
      <c r="B276" s="66" t="s">
        <v>31</v>
      </c>
      <c r="C276" s="84">
        <v>2000000</v>
      </c>
      <c r="D276" s="84">
        <v>21000000</v>
      </c>
      <c r="E276" s="84">
        <f>F276-302953</f>
        <v>-1.1300000000046566</v>
      </c>
      <c r="F276" s="84">
        <v>302951.87</v>
      </c>
      <c r="G276" s="71">
        <f t="shared" si="44"/>
        <v>0.0009105924553791487</v>
      </c>
      <c r="H276" s="83">
        <f t="shared" si="42"/>
        <v>20697048.13</v>
      </c>
      <c r="I276" s="84">
        <f>J276-23059.5</f>
        <v>45589.850000000006</v>
      </c>
      <c r="J276" s="84">
        <v>68649.35</v>
      </c>
      <c r="K276" s="51">
        <f t="shared" si="45"/>
        <v>0.00022993413732431728</v>
      </c>
      <c r="L276" s="95">
        <f t="shared" si="41"/>
        <v>20931350.65</v>
      </c>
    </row>
    <row r="277" spans="1:12" ht="15">
      <c r="A277" s="52" t="s">
        <v>28</v>
      </c>
      <c r="B277" s="66" t="s">
        <v>33</v>
      </c>
      <c r="C277" s="84">
        <v>155300000</v>
      </c>
      <c r="D277" s="84">
        <v>156300000</v>
      </c>
      <c r="E277" s="84">
        <f>F277-58080005</f>
        <v>7708593.8500000015</v>
      </c>
      <c r="F277" s="84">
        <v>65788598.85</v>
      </c>
      <c r="G277" s="71">
        <f t="shared" si="44"/>
        <v>0.19774296743167602</v>
      </c>
      <c r="H277" s="84">
        <f>D277-F277</f>
        <v>90511401.15</v>
      </c>
      <c r="I277" s="84">
        <f>J277-38098163.5</f>
        <v>19528182.060000002</v>
      </c>
      <c r="J277" s="84">
        <v>57626345.56</v>
      </c>
      <c r="K277" s="51">
        <f t="shared" si="45"/>
        <v>0.19301368554096435</v>
      </c>
      <c r="L277" s="95">
        <f>D277-J277</f>
        <v>98673654.44</v>
      </c>
    </row>
    <row r="278" spans="1:12" ht="15">
      <c r="A278" s="52" t="s">
        <v>50</v>
      </c>
      <c r="B278" s="66" t="s">
        <v>57</v>
      </c>
      <c r="C278" s="84">
        <v>160000</v>
      </c>
      <c r="D278" s="84">
        <v>160000</v>
      </c>
      <c r="E278" s="84">
        <f>F278-0</f>
        <v>0</v>
      </c>
      <c r="F278" s="84">
        <v>0</v>
      </c>
      <c r="G278" s="64">
        <f t="shared" si="44"/>
        <v>0</v>
      </c>
      <c r="H278" s="84">
        <f t="shared" si="42"/>
        <v>160000</v>
      </c>
      <c r="I278" s="84">
        <f>J278-0</f>
        <v>0</v>
      </c>
      <c r="J278" s="84">
        <v>0</v>
      </c>
      <c r="K278" s="56">
        <f t="shared" si="45"/>
        <v>0</v>
      </c>
      <c r="L278" s="95">
        <f t="shared" si="41"/>
        <v>160000</v>
      </c>
    </row>
    <row r="279" spans="1:12" ht="14.25">
      <c r="A279" s="47" t="s">
        <v>36</v>
      </c>
      <c r="B279" s="72" t="s">
        <v>37</v>
      </c>
      <c r="C279" s="83">
        <f>SUM(C280:C281)</f>
        <v>616670000</v>
      </c>
      <c r="D279" s="83">
        <f>SUM(D280:D281)</f>
        <v>616720000</v>
      </c>
      <c r="E279" s="83">
        <f>SUM(E280:E281)</f>
        <v>83147219.75</v>
      </c>
      <c r="F279" s="83">
        <f>SUM(F280:F281)</f>
        <v>249068159.75</v>
      </c>
      <c r="G279" s="71">
        <f t="shared" si="44"/>
        <v>0.7486324053504557</v>
      </c>
      <c r="H279" s="83">
        <f t="shared" si="42"/>
        <v>367651840.25</v>
      </c>
      <c r="I279" s="83">
        <f>SUM(I280:I281)</f>
        <v>83414383.74999999</v>
      </c>
      <c r="J279" s="83">
        <f>SUM(J280:J281)</f>
        <v>246207920.54999998</v>
      </c>
      <c r="K279" s="51">
        <f t="shared" si="45"/>
        <v>0.8246488249936568</v>
      </c>
      <c r="L279" s="94">
        <f t="shared" si="41"/>
        <v>370512079.45000005</v>
      </c>
    </row>
    <row r="280" spans="1:12" ht="15">
      <c r="A280" s="52" t="s">
        <v>38</v>
      </c>
      <c r="B280" s="66" t="s">
        <v>40</v>
      </c>
      <c r="C280" s="84">
        <v>6670000</v>
      </c>
      <c r="D280" s="84">
        <v>6720000</v>
      </c>
      <c r="E280" s="84">
        <f>F280-5013276</f>
        <v>0.40000000037252903</v>
      </c>
      <c r="F280" s="84">
        <v>5013276.4</v>
      </c>
      <c r="G280" s="64">
        <f t="shared" si="44"/>
        <v>0.01506857068276337</v>
      </c>
      <c r="H280" s="84">
        <f t="shared" si="42"/>
        <v>1706723.5999999996</v>
      </c>
      <c r="I280" s="84">
        <f>J280-1885872.4</f>
        <v>267164.8000000003</v>
      </c>
      <c r="J280" s="84">
        <v>2153037.2</v>
      </c>
      <c r="K280" s="56">
        <f t="shared" si="45"/>
        <v>0.007211382936752693</v>
      </c>
      <c r="L280" s="95">
        <f t="shared" si="41"/>
        <v>4566962.8</v>
      </c>
    </row>
    <row r="281" spans="1:12" ht="15">
      <c r="A281" s="52" t="s">
        <v>28</v>
      </c>
      <c r="B281" s="66" t="s">
        <v>33</v>
      </c>
      <c r="C281" s="84">
        <v>610000000</v>
      </c>
      <c r="D281" s="84">
        <v>610000000</v>
      </c>
      <c r="E281" s="84">
        <f>F281-160907664</f>
        <v>83147219.35</v>
      </c>
      <c r="F281" s="84">
        <v>244054883.35</v>
      </c>
      <c r="G281" s="64">
        <f t="shared" si="44"/>
        <v>0.7335638346676924</v>
      </c>
      <c r="H281" s="84">
        <f t="shared" si="42"/>
        <v>365945116.65</v>
      </c>
      <c r="I281" s="84">
        <f>J281-160907664.4</f>
        <v>83147218.94999999</v>
      </c>
      <c r="J281" s="84">
        <v>244054883.35</v>
      </c>
      <c r="K281" s="56">
        <f t="shared" si="45"/>
        <v>0.8174374420569042</v>
      </c>
      <c r="L281" s="95">
        <f t="shared" si="41"/>
        <v>365945116.65</v>
      </c>
    </row>
    <row r="282" spans="1:12" ht="14.25">
      <c r="A282" s="47" t="s">
        <v>42</v>
      </c>
      <c r="B282" s="72" t="s">
        <v>43</v>
      </c>
      <c r="C282" s="83">
        <f>SUM(C283:C286)</f>
        <v>404851060</v>
      </c>
      <c r="D282" s="83">
        <f>SUM(D283:D286)</f>
        <v>578635518.88</v>
      </c>
      <c r="E282" s="83">
        <f>SUM(E283:E286)</f>
        <v>26652104.54000002</v>
      </c>
      <c r="F282" s="83">
        <f>SUM(F283:F286)</f>
        <v>385222288.54</v>
      </c>
      <c r="G282" s="71">
        <f t="shared" si="44"/>
        <v>1.157875373366778</v>
      </c>
      <c r="H282" s="83">
        <f>D282-F282</f>
        <v>193413230.33999997</v>
      </c>
      <c r="I282" s="83">
        <f>SUM(I283+I284+I285+I286)</f>
        <v>57242123.06</v>
      </c>
      <c r="J282" s="83">
        <f>SUM(J283+J284+J285+J286)</f>
        <v>250674266.06</v>
      </c>
      <c r="K282" s="51">
        <f t="shared" si="45"/>
        <v>0.8396084029333487</v>
      </c>
      <c r="L282" s="94">
        <f t="shared" si="41"/>
        <v>327961252.82</v>
      </c>
    </row>
    <row r="283" spans="1:12" ht="15">
      <c r="A283" s="52" t="s">
        <v>44</v>
      </c>
      <c r="B283" s="66" t="s">
        <v>45</v>
      </c>
      <c r="C283" s="83">
        <v>0</v>
      </c>
      <c r="D283" s="84">
        <v>87483140</v>
      </c>
      <c r="E283" s="83">
        <f>F283-0</f>
        <v>0</v>
      </c>
      <c r="F283" s="83">
        <v>0</v>
      </c>
      <c r="G283" s="71">
        <f t="shared" si="44"/>
        <v>0</v>
      </c>
      <c r="H283" s="83">
        <f>D283-F283</f>
        <v>87483140</v>
      </c>
      <c r="I283" s="83">
        <f>J283-0</f>
        <v>0</v>
      </c>
      <c r="J283" s="83">
        <v>0</v>
      </c>
      <c r="K283" s="51"/>
      <c r="L283" s="94">
        <f t="shared" si="41"/>
        <v>87483140</v>
      </c>
    </row>
    <row r="284" spans="1:12" ht="15">
      <c r="A284" s="52" t="s">
        <v>229</v>
      </c>
      <c r="B284" s="66" t="s">
        <v>230</v>
      </c>
      <c r="C284" s="84">
        <v>0</v>
      </c>
      <c r="D284" s="84">
        <v>500000</v>
      </c>
      <c r="E284" s="84">
        <f>F284-0</f>
        <v>0</v>
      </c>
      <c r="F284" s="84">
        <v>0</v>
      </c>
      <c r="G284" s="64">
        <f t="shared" si="44"/>
        <v>0</v>
      </c>
      <c r="H284" s="84">
        <f>D284-F284</f>
        <v>500000</v>
      </c>
      <c r="I284" s="84">
        <f>J284-0</f>
        <v>0</v>
      </c>
      <c r="J284" s="84">
        <v>0</v>
      </c>
      <c r="K284" s="56">
        <f t="shared" si="45"/>
        <v>0</v>
      </c>
      <c r="L284" s="95">
        <f t="shared" si="41"/>
        <v>500000</v>
      </c>
    </row>
    <row r="285" spans="1:12" ht="15">
      <c r="A285" s="52" t="s">
        <v>28</v>
      </c>
      <c r="B285" s="66" t="s">
        <v>33</v>
      </c>
      <c r="C285" s="84">
        <v>404518272</v>
      </c>
      <c r="D285" s="84">
        <v>490219590.88</v>
      </c>
      <c r="E285" s="84">
        <f>F285-358570184</f>
        <v>26652104.54000002</v>
      </c>
      <c r="F285" s="84">
        <v>385222288.54</v>
      </c>
      <c r="G285" s="64">
        <f t="shared" si="44"/>
        <v>1.157875373366778</v>
      </c>
      <c r="H285" s="84">
        <f t="shared" si="42"/>
        <v>104997302.33999997</v>
      </c>
      <c r="I285" s="84">
        <f>J285-193432143</f>
        <v>57242123.06</v>
      </c>
      <c r="J285" s="84">
        <v>250674266.06</v>
      </c>
      <c r="K285" s="56">
        <f t="shared" si="45"/>
        <v>0.8396084029333487</v>
      </c>
      <c r="L285" s="95">
        <f t="shared" si="41"/>
        <v>239545324.82</v>
      </c>
    </row>
    <row r="286" spans="1:12" ht="15">
      <c r="A286" s="52" t="s">
        <v>29</v>
      </c>
      <c r="B286" s="66" t="s">
        <v>267</v>
      </c>
      <c r="C286" s="84">
        <v>332788</v>
      </c>
      <c r="D286" s="84">
        <v>432788</v>
      </c>
      <c r="E286" s="84">
        <f>F286-0</f>
        <v>0</v>
      </c>
      <c r="F286" s="84">
        <v>0</v>
      </c>
      <c r="G286" s="64">
        <f t="shared" si="44"/>
        <v>0</v>
      </c>
      <c r="H286" s="84">
        <f t="shared" si="42"/>
        <v>432788</v>
      </c>
      <c r="I286" s="84">
        <f>J286-0</f>
        <v>0</v>
      </c>
      <c r="J286" s="84">
        <v>0</v>
      </c>
      <c r="K286" s="56">
        <f t="shared" si="45"/>
        <v>0</v>
      </c>
      <c r="L286" s="95">
        <f t="shared" si="41"/>
        <v>432788</v>
      </c>
    </row>
    <row r="287" spans="1:12" ht="14.25">
      <c r="A287" s="47" t="s">
        <v>46</v>
      </c>
      <c r="B287" s="72" t="s">
        <v>47</v>
      </c>
      <c r="C287" s="83">
        <f>SUM(C288:C290)</f>
        <v>152427310</v>
      </c>
      <c r="D287" s="83">
        <f>SUM(D288:D290)</f>
        <v>161744250.67</v>
      </c>
      <c r="E287" s="83">
        <f>SUM(E288:E290)</f>
        <v>21303240.799999997</v>
      </c>
      <c r="F287" s="83">
        <f>SUM(F288:F290)</f>
        <v>64186928.8</v>
      </c>
      <c r="G287" s="71">
        <f t="shared" si="44"/>
        <v>0.19292877478933732</v>
      </c>
      <c r="H287" s="83">
        <f t="shared" si="42"/>
        <v>97557321.86999999</v>
      </c>
      <c r="I287" s="83">
        <f>SUM(I288:I290)</f>
        <v>20914516.85</v>
      </c>
      <c r="J287" s="83">
        <f>SUM(J288:J290)</f>
        <v>63206276.85</v>
      </c>
      <c r="K287" s="51">
        <f t="shared" si="45"/>
        <v>0.21170310776411888</v>
      </c>
      <c r="L287" s="94">
        <f t="shared" si="41"/>
        <v>98537973.82</v>
      </c>
    </row>
    <row r="288" spans="1:12" ht="15">
      <c r="A288" s="52" t="s">
        <v>28</v>
      </c>
      <c r="B288" s="66" t="s">
        <v>33</v>
      </c>
      <c r="C288" s="84">
        <v>152427310</v>
      </c>
      <c r="D288" s="84">
        <v>161744250.67</v>
      </c>
      <c r="E288" s="84">
        <f>F288-42883688</f>
        <v>21303240.799999997</v>
      </c>
      <c r="F288" s="84">
        <v>64186928.8</v>
      </c>
      <c r="G288" s="64">
        <f t="shared" si="44"/>
        <v>0.19292877478933732</v>
      </c>
      <c r="H288" s="84">
        <f t="shared" si="42"/>
        <v>97557321.86999999</v>
      </c>
      <c r="I288" s="84">
        <f>J288-42291760</f>
        <v>20914516.85</v>
      </c>
      <c r="J288" s="84">
        <v>63206276.85</v>
      </c>
      <c r="K288" s="56">
        <f t="shared" si="45"/>
        <v>0.21170310776411888</v>
      </c>
      <c r="L288" s="95">
        <f t="shared" si="41"/>
        <v>98537973.82</v>
      </c>
    </row>
    <row r="289" spans="1:12" ht="15">
      <c r="A289" s="52" t="s">
        <v>39</v>
      </c>
      <c r="B289" s="66" t="s">
        <v>41</v>
      </c>
      <c r="C289" s="84">
        <v>0</v>
      </c>
      <c r="D289" s="84">
        <v>0</v>
      </c>
      <c r="E289" s="84">
        <f>F289-0</f>
        <v>0</v>
      </c>
      <c r="F289" s="84">
        <v>0</v>
      </c>
      <c r="G289" s="64">
        <f t="shared" si="44"/>
        <v>0</v>
      </c>
      <c r="H289" s="84">
        <f t="shared" si="42"/>
        <v>0</v>
      </c>
      <c r="I289" s="84">
        <f>J289-0</f>
        <v>0</v>
      </c>
      <c r="J289" s="84">
        <v>0</v>
      </c>
      <c r="K289" s="56">
        <f t="shared" si="45"/>
        <v>0</v>
      </c>
      <c r="L289" s="95">
        <f t="shared" si="41"/>
        <v>0</v>
      </c>
    </row>
    <row r="290" spans="1:12" ht="15">
      <c r="A290" s="52" t="s">
        <v>53</v>
      </c>
      <c r="B290" s="66" t="s">
        <v>60</v>
      </c>
      <c r="C290" s="84">
        <v>0</v>
      </c>
      <c r="D290" s="84">
        <v>0</v>
      </c>
      <c r="E290" s="84">
        <f>F290-0</f>
        <v>0</v>
      </c>
      <c r="F290" s="84">
        <v>0</v>
      </c>
      <c r="G290" s="64">
        <f t="shared" si="44"/>
        <v>0</v>
      </c>
      <c r="H290" s="84">
        <f t="shared" si="42"/>
        <v>0</v>
      </c>
      <c r="I290" s="84">
        <f>J290-0</f>
        <v>0</v>
      </c>
      <c r="J290" s="84">
        <v>0</v>
      </c>
      <c r="K290" s="56">
        <f t="shared" si="45"/>
        <v>0</v>
      </c>
      <c r="L290" s="95">
        <f t="shared" si="41"/>
        <v>0</v>
      </c>
    </row>
    <row r="291" spans="1:12" ht="14.25">
      <c r="A291" s="47" t="s">
        <v>63</v>
      </c>
      <c r="B291" s="72" t="s">
        <v>62</v>
      </c>
      <c r="C291" s="83">
        <f>SUM(C292:C295)</f>
        <v>1861716731</v>
      </c>
      <c r="D291" s="83">
        <f>SUM(D292:D295)</f>
        <v>1914719998.39</v>
      </c>
      <c r="E291" s="83">
        <f>SUM(E292:E295)</f>
        <v>113858055.89999999</v>
      </c>
      <c r="F291" s="83">
        <f>SUM(F292:F295)</f>
        <v>413284552.9</v>
      </c>
      <c r="G291" s="71">
        <f t="shared" si="44"/>
        <v>1.242223049474772</v>
      </c>
      <c r="H291" s="83">
        <f t="shared" si="42"/>
        <v>1501435445.4900002</v>
      </c>
      <c r="I291" s="83">
        <f>SUM(I292:I295)</f>
        <v>49894903.339999996</v>
      </c>
      <c r="J291" s="83">
        <f>SUM(J292:J295)</f>
        <v>340137461.34</v>
      </c>
      <c r="K291" s="51">
        <f t="shared" si="45"/>
        <v>1.1392564349829417</v>
      </c>
      <c r="L291" s="94">
        <f t="shared" si="41"/>
        <v>1574582537.0500002</v>
      </c>
    </row>
    <row r="292" spans="1:12" ht="15">
      <c r="A292" s="52" t="s">
        <v>28</v>
      </c>
      <c r="B292" s="66" t="s">
        <v>33</v>
      </c>
      <c r="C292" s="84">
        <v>1788395430</v>
      </c>
      <c r="D292" s="84">
        <v>1849604397.39</v>
      </c>
      <c r="E292" s="84">
        <f>F292-282646926</f>
        <v>113417277.63999999</v>
      </c>
      <c r="F292" s="84">
        <v>396064203.64</v>
      </c>
      <c r="G292" s="64">
        <f t="shared" si="44"/>
        <v>1.1904632761644112</v>
      </c>
      <c r="H292" s="84">
        <f t="shared" si="42"/>
        <v>1453540193.75</v>
      </c>
      <c r="I292" s="84">
        <f>J292-273643629</f>
        <v>49590699.879999995</v>
      </c>
      <c r="J292" s="84">
        <v>323234328.88</v>
      </c>
      <c r="K292" s="56">
        <f t="shared" si="45"/>
        <v>1.0826410820295813</v>
      </c>
      <c r="L292" s="95">
        <f t="shared" si="41"/>
        <v>1526370068.5100002</v>
      </c>
    </row>
    <row r="293" spans="1:12" ht="15">
      <c r="A293" s="52" t="s">
        <v>49</v>
      </c>
      <c r="B293" s="66" t="s">
        <v>56</v>
      </c>
      <c r="C293" s="84">
        <v>59471301</v>
      </c>
      <c r="D293" s="84">
        <v>59471301</v>
      </c>
      <c r="E293" s="84">
        <f>F293-16390300</f>
        <v>6553.359999999404</v>
      </c>
      <c r="F293" s="84">
        <v>16396853.36</v>
      </c>
      <c r="G293" s="64">
        <f t="shared" si="44"/>
        <v>0.049284564447726456</v>
      </c>
      <c r="H293" s="84">
        <f t="shared" si="42"/>
        <v>43074447.64</v>
      </c>
      <c r="I293" s="84">
        <f>J293-16300508</f>
        <v>4650.089999999851</v>
      </c>
      <c r="J293" s="84">
        <v>16305158.09</v>
      </c>
      <c r="K293" s="56">
        <f t="shared" si="45"/>
        <v>0.0546124975598569</v>
      </c>
      <c r="L293" s="95">
        <f t="shared" si="41"/>
        <v>43166142.91</v>
      </c>
    </row>
    <row r="294" spans="1:12" ht="15">
      <c r="A294" s="52" t="s">
        <v>64</v>
      </c>
      <c r="B294" s="66" t="s">
        <v>72</v>
      </c>
      <c r="C294" s="84">
        <v>10000000</v>
      </c>
      <c r="D294" s="84">
        <v>3000000</v>
      </c>
      <c r="E294" s="84">
        <f>F294-0</f>
        <v>0</v>
      </c>
      <c r="F294" s="84">
        <v>0</v>
      </c>
      <c r="G294" s="64">
        <f t="shared" si="44"/>
        <v>0</v>
      </c>
      <c r="H294" s="84">
        <f t="shared" si="42"/>
        <v>3000000</v>
      </c>
      <c r="I294" s="84">
        <f>J294-0</f>
        <v>0</v>
      </c>
      <c r="J294" s="84">
        <v>0</v>
      </c>
      <c r="K294" s="56">
        <f t="shared" si="45"/>
        <v>0</v>
      </c>
      <c r="L294" s="95">
        <f t="shared" si="41"/>
        <v>3000000</v>
      </c>
    </row>
    <row r="295" spans="1:12" ht="15">
      <c r="A295" s="52" t="s">
        <v>65</v>
      </c>
      <c r="B295" s="66" t="s">
        <v>73</v>
      </c>
      <c r="C295" s="84">
        <v>3850000</v>
      </c>
      <c r="D295" s="84">
        <v>2644300</v>
      </c>
      <c r="E295" s="84">
        <f>F295-389271</f>
        <v>434224.9</v>
      </c>
      <c r="F295" s="84">
        <v>823495.9</v>
      </c>
      <c r="G295" s="64">
        <f t="shared" si="44"/>
        <v>0.0024752088626343914</v>
      </c>
      <c r="H295" s="84">
        <f t="shared" si="42"/>
        <v>1820804.1</v>
      </c>
      <c r="I295" s="84">
        <f>J295-298421</f>
        <v>299553.37</v>
      </c>
      <c r="J295" s="84">
        <v>597974.37</v>
      </c>
      <c r="K295" s="56">
        <f t="shared" si="45"/>
        <v>0.002002855393503392</v>
      </c>
      <c r="L295" s="95">
        <f t="shared" si="41"/>
        <v>2046325.63</v>
      </c>
    </row>
    <row r="296" spans="1:12" ht="14.25">
      <c r="A296" s="47" t="s">
        <v>81</v>
      </c>
      <c r="B296" s="72" t="s">
        <v>80</v>
      </c>
      <c r="C296" s="83">
        <f>SUM(C297:C299)</f>
        <v>7662574</v>
      </c>
      <c r="D296" s="83">
        <f>SUM(D297:D299)</f>
        <v>8975139</v>
      </c>
      <c r="E296" s="83">
        <f>SUM(E297:E299)</f>
        <v>861653.6000000001</v>
      </c>
      <c r="F296" s="83">
        <f>SUM(F297:F299)</f>
        <v>2872095.6</v>
      </c>
      <c r="G296" s="71">
        <f t="shared" si="44"/>
        <v>0.008632752735567038</v>
      </c>
      <c r="H296" s="83">
        <f t="shared" si="42"/>
        <v>6103043.4</v>
      </c>
      <c r="I296" s="83">
        <f>SUM(I297:I299)</f>
        <v>890562.79</v>
      </c>
      <c r="J296" s="83">
        <f>SUM(J297:J299)</f>
        <v>2638754.79</v>
      </c>
      <c r="K296" s="51">
        <f t="shared" si="45"/>
        <v>0.008838245464073002</v>
      </c>
      <c r="L296" s="94">
        <f t="shared" si="41"/>
        <v>6336384.21</v>
      </c>
    </row>
    <row r="297" spans="1:12" ht="15">
      <c r="A297" s="52" t="s">
        <v>28</v>
      </c>
      <c r="B297" s="66" t="s">
        <v>33</v>
      </c>
      <c r="C297" s="84">
        <v>7662574</v>
      </c>
      <c r="D297" s="84">
        <v>8632574</v>
      </c>
      <c r="E297" s="84">
        <f>F297-1950661</f>
        <v>826822.1400000001</v>
      </c>
      <c r="F297" s="84">
        <v>2777483.14</v>
      </c>
      <c r="G297" s="64">
        <f t="shared" si="44"/>
        <v>0.00834837293536689</v>
      </c>
      <c r="H297" s="84">
        <f t="shared" si="42"/>
        <v>5855090.859999999</v>
      </c>
      <c r="I297" s="84">
        <f>J297-1688411</f>
        <v>855731.3300000001</v>
      </c>
      <c r="J297" s="84">
        <v>2544142.33</v>
      </c>
      <c r="K297" s="56">
        <f t="shared" si="45"/>
        <v>0.008521350484437631</v>
      </c>
      <c r="L297" s="95">
        <f t="shared" si="41"/>
        <v>6088431.67</v>
      </c>
    </row>
    <row r="298" spans="1:12" ht="15">
      <c r="A298" s="52" t="s">
        <v>82</v>
      </c>
      <c r="B298" s="66" t="s">
        <v>84</v>
      </c>
      <c r="C298" s="84">
        <v>0</v>
      </c>
      <c r="D298" s="84">
        <v>342565</v>
      </c>
      <c r="E298" s="84">
        <f>F298-59781</f>
        <v>34831.46000000001</v>
      </c>
      <c r="F298" s="84">
        <v>94612.46</v>
      </c>
      <c r="G298" s="64">
        <f t="shared" si="44"/>
        <v>0.00028437980020014895</v>
      </c>
      <c r="H298" s="84">
        <f t="shared" si="42"/>
        <v>247952.53999999998</v>
      </c>
      <c r="I298" s="84">
        <f>J298-59781</f>
        <v>34831.46000000001</v>
      </c>
      <c r="J298" s="84">
        <v>94612.46</v>
      </c>
      <c r="K298" s="56">
        <f t="shared" si="45"/>
        <v>0.00031689497963537127</v>
      </c>
      <c r="L298" s="95">
        <f t="shared" si="41"/>
        <v>247952.53999999998</v>
      </c>
    </row>
    <row r="299" spans="1:12" ht="15">
      <c r="A299" s="52" t="s">
        <v>83</v>
      </c>
      <c r="B299" s="66" t="s">
        <v>268</v>
      </c>
      <c r="C299" s="84">
        <v>0</v>
      </c>
      <c r="D299" s="84">
        <v>0</v>
      </c>
      <c r="E299" s="84">
        <f>F299-0</f>
        <v>0</v>
      </c>
      <c r="F299" s="84">
        <v>0</v>
      </c>
      <c r="G299" s="64">
        <f aca="true" t="shared" si="46" ref="G299:G307">(F299/$F$258)*100</f>
        <v>0</v>
      </c>
      <c r="H299" s="84">
        <f t="shared" si="42"/>
        <v>0</v>
      </c>
      <c r="I299" s="84">
        <f>J299-0</f>
        <v>0</v>
      </c>
      <c r="J299" s="84">
        <v>0</v>
      </c>
      <c r="K299" s="56">
        <f aca="true" t="shared" si="47" ref="K299:K307">(J299/$J$258)*100</f>
        <v>0</v>
      </c>
      <c r="L299" s="95">
        <f t="shared" si="41"/>
        <v>0</v>
      </c>
    </row>
    <row r="300" spans="1:12" ht="14.25">
      <c r="A300" s="47" t="s">
        <v>87</v>
      </c>
      <c r="B300" s="72" t="s">
        <v>86</v>
      </c>
      <c r="C300" s="83">
        <f>C301</f>
        <v>327985137</v>
      </c>
      <c r="D300" s="83">
        <f>D301</f>
        <v>327985137</v>
      </c>
      <c r="E300" s="83">
        <f>E301</f>
        <v>780617.02</v>
      </c>
      <c r="F300" s="83">
        <f>F301</f>
        <v>2847399.02</v>
      </c>
      <c r="G300" s="71">
        <f t="shared" si="46"/>
        <v>0.008558521408255318</v>
      </c>
      <c r="H300" s="83">
        <f t="shared" si="42"/>
        <v>325137737.98</v>
      </c>
      <c r="I300" s="83">
        <f>I301</f>
        <v>920352.77</v>
      </c>
      <c r="J300" s="83">
        <f>J301</f>
        <v>2505708.77</v>
      </c>
      <c r="K300" s="51">
        <f t="shared" si="47"/>
        <v>0.008392621116091063</v>
      </c>
      <c r="L300" s="94">
        <f t="shared" si="41"/>
        <v>325479428.23</v>
      </c>
    </row>
    <row r="301" spans="1:12" ht="15">
      <c r="A301" s="52" t="s">
        <v>28</v>
      </c>
      <c r="B301" s="66" t="s">
        <v>33</v>
      </c>
      <c r="C301" s="84">
        <v>327985137</v>
      </c>
      <c r="D301" s="84">
        <v>327985137</v>
      </c>
      <c r="E301" s="84">
        <f>F301-2066782</f>
        <v>780617.02</v>
      </c>
      <c r="F301" s="84">
        <v>2847399.02</v>
      </c>
      <c r="G301" s="64">
        <f t="shared" si="46"/>
        <v>0.008558521408255318</v>
      </c>
      <c r="H301" s="84">
        <f t="shared" si="42"/>
        <v>325137737.98</v>
      </c>
      <c r="I301" s="84">
        <f>J301-1585356</f>
        <v>920352.77</v>
      </c>
      <c r="J301" s="84">
        <v>2505708.77</v>
      </c>
      <c r="K301" s="56">
        <f t="shared" si="47"/>
        <v>0.008392621116091063</v>
      </c>
      <c r="L301" s="95">
        <f t="shared" si="41"/>
        <v>325479428.23</v>
      </c>
    </row>
    <row r="302" spans="1:12" ht="14.25">
      <c r="A302" s="47" t="s">
        <v>90</v>
      </c>
      <c r="B302" s="72" t="s">
        <v>91</v>
      </c>
      <c r="C302" s="83">
        <f>SUM(C303:C305)</f>
        <v>724264166</v>
      </c>
      <c r="D302" s="83">
        <f>SUM(D303:D305)</f>
        <v>724264166</v>
      </c>
      <c r="E302" s="83">
        <f>SUM(E303:E305)</f>
        <v>67403763.99</v>
      </c>
      <c r="F302" s="83">
        <f>SUM(F303:F305)</f>
        <v>246902444.99</v>
      </c>
      <c r="G302" s="71">
        <f t="shared" si="46"/>
        <v>0.7421228448682602</v>
      </c>
      <c r="H302" s="83">
        <f>D302-F302</f>
        <v>477361721.01</v>
      </c>
      <c r="I302" s="83">
        <f>SUM(I303:I305)</f>
        <v>31682099.960000005</v>
      </c>
      <c r="J302" s="83">
        <f>SUM(J303:J305)</f>
        <v>209720072.96</v>
      </c>
      <c r="K302" s="51">
        <f t="shared" si="47"/>
        <v>0.7024364259188248</v>
      </c>
      <c r="L302" s="94">
        <f>D302-J302</f>
        <v>514544093.03999996</v>
      </c>
    </row>
    <row r="303" spans="1:12" ht="15">
      <c r="A303" s="52" t="s">
        <v>28</v>
      </c>
      <c r="B303" s="66" t="s">
        <v>33</v>
      </c>
      <c r="C303" s="84">
        <v>58649481</v>
      </c>
      <c r="D303" s="84">
        <v>58649481</v>
      </c>
      <c r="E303" s="84">
        <f>F303-18906613</f>
        <v>9206426.36</v>
      </c>
      <c r="F303" s="84">
        <v>28113039.36</v>
      </c>
      <c r="G303" s="64">
        <f t="shared" si="46"/>
        <v>0.08450029220480815</v>
      </c>
      <c r="H303" s="84">
        <f t="shared" si="42"/>
        <v>30536441.64</v>
      </c>
      <c r="I303" s="84">
        <f>J303-17449337</f>
        <v>8446862.559999999</v>
      </c>
      <c r="J303" s="84">
        <v>25896199.56</v>
      </c>
      <c r="K303" s="56">
        <f t="shared" si="47"/>
        <v>0.08673673247899599</v>
      </c>
      <c r="L303" s="95">
        <f t="shared" si="41"/>
        <v>32753281.44</v>
      </c>
    </row>
    <row r="304" spans="1:12" ht="15">
      <c r="A304" s="52" t="s">
        <v>65</v>
      </c>
      <c r="B304" s="66" t="s">
        <v>73</v>
      </c>
      <c r="C304" s="84">
        <v>5000</v>
      </c>
      <c r="D304" s="84">
        <v>5000</v>
      </c>
      <c r="E304" s="84">
        <f>F304-0</f>
        <v>0</v>
      </c>
      <c r="F304" s="84">
        <v>0</v>
      </c>
      <c r="G304" s="64">
        <f t="shared" si="46"/>
        <v>0</v>
      </c>
      <c r="H304" s="84">
        <f t="shared" si="42"/>
        <v>5000</v>
      </c>
      <c r="I304" s="84">
        <f>J304-0</f>
        <v>0</v>
      </c>
      <c r="J304" s="84">
        <v>0</v>
      </c>
      <c r="K304" s="56">
        <f t="shared" si="47"/>
        <v>0</v>
      </c>
      <c r="L304" s="95">
        <f t="shared" si="41"/>
        <v>5000</v>
      </c>
    </row>
    <row r="305" spans="1:12" ht="15">
      <c r="A305" s="52" t="s">
        <v>67</v>
      </c>
      <c r="B305" s="66" t="s">
        <v>75</v>
      </c>
      <c r="C305" s="84">
        <v>665609685</v>
      </c>
      <c r="D305" s="84">
        <v>665609685</v>
      </c>
      <c r="E305" s="84">
        <f>F305-160592068</f>
        <v>58197337.629999995</v>
      </c>
      <c r="F305" s="84">
        <v>218789405.63</v>
      </c>
      <c r="G305" s="64">
        <f t="shared" si="46"/>
        <v>0.6576225526634519</v>
      </c>
      <c r="H305" s="84">
        <f t="shared" si="42"/>
        <v>446820279.37</v>
      </c>
      <c r="I305" s="84">
        <f>J305-160588636</f>
        <v>23235237.400000006</v>
      </c>
      <c r="J305" s="84">
        <v>183823873.4</v>
      </c>
      <c r="K305" s="56">
        <f t="shared" si="47"/>
        <v>0.6156996934398288</v>
      </c>
      <c r="L305" s="95">
        <f t="shared" si="41"/>
        <v>481785811.6</v>
      </c>
    </row>
    <row r="306" spans="1:12" ht="14.25">
      <c r="A306" s="47" t="s">
        <v>104</v>
      </c>
      <c r="B306" s="72" t="s">
        <v>103</v>
      </c>
      <c r="C306" s="83">
        <f>C307</f>
        <v>476199</v>
      </c>
      <c r="D306" s="83">
        <f>D307</f>
        <v>626053.01</v>
      </c>
      <c r="E306" s="83">
        <f>E307</f>
        <v>130645.41999999998</v>
      </c>
      <c r="F306" s="83">
        <f>F307</f>
        <v>394796.42</v>
      </c>
      <c r="G306" s="71">
        <f t="shared" si="46"/>
        <v>0.0011866526569474475</v>
      </c>
      <c r="H306" s="83">
        <f t="shared" si="42"/>
        <v>231256.59000000003</v>
      </c>
      <c r="I306" s="83">
        <f>I307</f>
        <v>130662.41999999998</v>
      </c>
      <c r="J306" s="83">
        <f>J307</f>
        <v>394796.42</v>
      </c>
      <c r="K306" s="51">
        <f t="shared" si="47"/>
        <v>0.0013223311546493714</v>
      </c>
      <c r="L306" s="94">
        <f t="shared" si="41"/>
        <v>231256.59000000003</v>
      </c>
    </row>
    <row r="307" spans="1:12" ht="15">
      <c r="A307" s="52" t="s">
        <v>28</v>
      </c>
      <c r="B307" s="66" t="s">
        <v>33</v>
      </c>
      <c r="C307" s="84">
        <v>476199</v>
      </c>
      <c r="D307" s="84">
        <v>626053.01</v>
      </c>
      <c r="E307" s="84">
        <f>F307-264151</f>
        <v>130645.41999999998</v>
      </c>
      <c r="F307" s="84">
        <v>394796.42</v>
      </c>
      <c r="G307" s="64">
        <f t="shared" si="46"/>
        <v>0.0011866526569474475</v>
      </c>
      <c r="H307" s="84">
        <f t="shared" si="42"/>
        <v>231256.59000000003</v>
      </c>
      <c r="I307" s="84">
        <f>J307-264134</f>
        <v>130662.41999999998</v>
      </c>
      <c r="J307" s="84">
        <v>394796.42</v>
      </c>
      <c r="K307" s="56">
        <f t="shared" si="47"/>
        <v>0.0013223311546493714</v>
      </c>
      <c r="L307" s="95">
        <f t="shared" si="41"/>
        <v>231256.59000000003</v>
      </c>
    </row>
    <row r="308" spans="1:12" ht="14.25">
      <c r="A308" s="47" t="s">
        <v>109</v>
      </c>
      <c r="B308" s="72" t="s">
        <v>110</v>
      </c>
      <c r="C308" s="83">
        <f>SUM(C309:C313)</f>
        <v>864581517</v>
      </c>
      <c r="D308" s="83">
        <f>SUM(D309:D313)</f>
        <v>865494271.4100001</v>
      </c>
      <c r="E308" s="83">
        <f>SUM(E309:E313)</f>
        <v>133917283.77000001</v>
      </c>
      <c r="F308" s="83">
        <f>SUM(F309:F313)</f>
        <v>408118797.77</v>
      </c>
      <c r="G308" s="71">
        <f aca="true" t="shared" si="48" ref="G308:G345">(F308/$F$258)*100</f>
        <v>1.2266961684302213</v>
      </c>
      <c r="H308" s="83">
        <f t="shared" si="42"/>
        <v>457375473.6400001</v>
      </c>
      <c r="I308" s="83">
        <f>SUM(I309:I313)</f>
        <v>133865112.77000001</v>
      </c>
      <c r="J308" s="83">
        <f>SUM(J309:J313)</f>
        <v>405433211.77</v>
      </c>
      <c r="K308" s="51">
        <f aca="true" t="shared" si="49" ref="K308:K345">(J308/$J$258)*100</f>
        <v>1.3579580256908794</v>
      </c>
      <c r="L308" s="94">
        <f t="shared" si="41"/>
        <v>460061059.6400001</v>
      </c>
    </row>
    <row r="309" spans="1:12" ht="15">
      <c r="A309" s="52" t="s">
        <v>28</v>
      </c>
      <c r="B309" s="66" t="s">
        <v>33</v>
      </c>
      <c r="C309" s="84">
        <v>359767429</v>
      </c>
      <c r="D309" s="84">
        <v>360680183.41</v>
      </c>
      <c r="E309" s="84">
        <f>F309-100647229</f>
        <v>46150730.05000001</v>
      </c>
      <c r="F309" s="84">
        <v>146797959.05</v>
      </c>
      <c r="G309" s="64">
        <f t="shared" si="48"/>
        <v>0.44123548065898144</v>
      </c>
      <c r="H309" s="84">
        <f t="shared" si="42"/>
        <v>213882224.36</v>
      </c>
      <c r="I309" s="84">
        <f>J309-98013814</f>
        <v>46098559.05000001</v>
      </c>
      <c r="J309" s="84">
        <v>144112373.05</v>
      </c>
      <c r="K309" s="56">
        <f t="shared" si="49"/>
        <v>0.48268999160242504</v>
      </c>
      <c r="L309" s="95">
        <f t="shared" si="41"/>
        <v>216567810.36</v>
      </c>
    </row>
    <row r="310" spans="1:12" ht="15">
      <c r="A310" s="52" t="s">
        <v>82</v>
      </c>
      <c r="B310" s="66" t="s">
        <v>84</v>
      </c>
      <c r="C310" s="84">
        <v>60000</v>
      </c>
      <c r="D310" s="84">
        <v>60000</v>
      </c>
      <c r="E310" s="84">
        <f>F310-0</f>
        <v>0</v>
      </c>
      <c r="F310" s="84">
        <v>0</v>
      </c>
      <c r="G310" s="64">
        <f t="shared" si="48"/>
        <v>0</v>
      </c>
      <c r="H310" s="84">
        <f>D310-F310</f>
        <v>60000</v>
      </c>
      <c r="I310" s="84">
        <f>J310-0</f>
        <v>0</v>
      </c>
      <c r="J310" s="84">
        <v>0</v>
      </c>
      <c r="K310" s="56">
        <f t="shared" si="49"/>
        <v>0</v>
      </c>
      <c r="L310" s="95">
        <f>D310-J310</f>
        <v>60000</v>
      </c>
    </row>
    <row r="311" spans="1:12" ht="15">
      <c r="A311" s="52" t="s">
        <v>111</v>
      </c>
      <c r="B311" s="66" t="s">
        <v>118</v>
      </c>
      <c r="C311" s="84">
        <v>132185336</v>
      </c>
      <c r="D311" s="84">
        <v>132185336</v>
      </c>
      <c r="E311" s="84">
        <f>F311-50865536</f>
        <v>7688394.969999999</v>
      </c>
      <c r="F311" s="84">
        <v>58553930.97</v>
      </c>
      <c r="G311" s="64">
        <f t="shared" si="48"/>
        <v>0.1759974869079814</v>
      </c>
      <c r="H311" s="84">
        <f>D311-F311</f>
        <v>73631405.03</v>
      </c>
      <c r="I311" s="84">
        <f>J311-50865536</f>
        <v>7688394.969999999</v>
      </c>
      <c r="J311" s="84">
        <v>58553930.97</v>
      </c>
      <c r="K311" s="56">
        <f t="shared" si="49"/>
        <v>0.19612054017313454</v>
      </c>
      <c r="L311" s="95">
        <f>D311-J311</f>
        <v>73631405.03</v>
      </c>
    </row>
    <row r="312" spans="1:12" ht="15">
      <c r="A312" s="52" t="s">
        <v>112</v>
      </c>
      <c r="B312" s="66" t="s">
        <v>119</v>
      </c>
      <c r="C312" s="84">
        <v>372568752</v>
      </c>
      <c r="D312" s="84">
        <v>372568752</v>
      </c>
      <c r="E312" s="84">
        <f>F312-122688749</f>
        <v>80078158.75</v>
      </c>
      <c r="F312" s="84">
        <v>202766907.75</v>
      </c>
      <c r="G312" s="64">
        <f t="shared" si="48"/>
        <v>0.6094632008632588</v>
      </c>
      <c r="H312" s="84">
        <f t="shared" si="42"/>
        <v>169801844.25</v>
      </c>
      <c r="I312" s="84">
        <f>J312-122688749</f>
        <v>80078158.75</v>
      </c>
      <c r="J312" s="84">
        <v>202766907.75</v>
      </c>
      <c r="K312" s="56">
        <f t="shared" si="49"/>
        <v>0.6791474939153199</v>
      </c>
      <c r="L312" s="95">
        <f t="shared" si="41"/>
        <v>169801844.25</v>
      </c>
    </row>
    <row r="313" spans="1:12" ht="15">
      <c r="A313" s="52" t="s">
        <v>114</v>
      </c>
      <c r="B313" s="66" t="s">
        <v>121</v>
      </c>
      <c r="C313" s="84">
        <v>0</v>
      </c>
      <c r="D313" s="84">
        <v>0</v>
      </c>
      <c r="E313" s="84">
        <f>F313-0</f>
        <v>0</v>
      </c>
      <c r="F313" s="84">
        <v>0</v>
      </c>
      <c r="G313" s="64">
        <f t="shared" si="48"/>
        <v>0</v>
      </c>
      <c r="H313" s="84">
        <f t="shared" si="42"/>
        <v>0</v>
      </c>
      <c r="I313" s="84">
        <f>J313-0</f>
        <v>0</v>
      </c>
      <c r="J313" s="84">
        <v>0</v>
      </c>
      <c r="K313" s="56">
        <f t="shared" si="49"/>
        <v>0</v>
      </c>
      <c r="L313" s="95">
        <f t="shared" si="41"/>
        <v>0</v>
      </c>
    </row>
    <row r="314" spans="1:12" ht="14.25">
      <c r="A314" s="47" t="s">
        <v>125</v>
      </c>
      <c r="B314" s="72" t="s">
        <v>126</v>
      </c>
      <c r="C314" s="83">
        <f>C315</f>
        <v>9507302</v>
      </c>
      <c r="D314" s="83">
        <f>D315</f>
        <v>9507302</v>
      </c>
      <c r="E314" s="83">
        <f>E315</f>
        <v>1605855.15</v>
      </c>
      <c r="F314" s="83">
        <f>F315</f>
        <v>4084589.15</v>
      </c>
      <c r="G314" s="71">
        <f t="shared" si="48"/>
        <v>0.012277184700373462</v>
      </c>
      <c r="H314" s="83">
        <f t="shared" si="42"/>
        <v>5422712.85</v>
      </c>
      <c r="I314" s="83">
        <f>I315</f>
        <v>1382879.92</v>
      </c>
      <c r="J314" s="83">
        <f>J315</f>
        <v>3853672.92</v>
      </c>
      <c r="K314" s="51">
        <f t="shared" si="49"/>
        <v>0.012907492327171088</v>
      </c>
      <c r="L314" s="94">
        <f>D314-J314</f>
        <v>5653629.08</v>
      </c>
    </row>
    <row r="315" spans="1:12" ht="15">
      <c r="A315" s="52" t="s">
        <v>28</v>
      </c>
      <c r="B315" s="66" t="s">
        <v>33</v>
      </c>
      <c r="C315" s="84">
        <v>9507302</v>
      </c>
      <c r="D315" s="84">
        <v>9507302</v>
      </c>
      <c r="E315" s="84">
        <f>F315-2478734</f>
        <v>1605855.15</v>
      </c>
      <c r="F315" s="84">
        <v>4084589.15</v>
      </c>
      <c r="G315" s="64">
        <f t="shared" si="48"/>
        <v>0.012277184700373462</v>
      </c>
      <c r="H315" s="84">
        <f t="shared" si="42"/>
        <v>5422712.85</v>
      </c>
      <c r="I315" s="84">
        <f>J315-2470793</f>
        <v>1382879.92</v>
      </c>
      <c r="J315" s="84">
        <v>3853672.92</v>
      </c>
      <c r="K315" s="56">
        <f t="shared" si="49"/>
        <v>0.012907492327171088</v>
      </c>
      <c r="L315" s="95">
        <f>D315-J315</f>
        <v>5653629.08</v>
      </c>
    </row>
    <row r="316" spans="1:12" ht="14.25">
      <c r="A316" s="74" t="s">
        <v>129</v>
      </c>
      <c r="B316" s="72" t="s">
        <v>130</v>
      </c>
      <c r="C316" s="83">
        <f>C317</f>
        <v>1010267</v>
      </c>
      <c r="D316" s="83">
        <f>D317</f>
        <v>1110267</v>
      </c>
      <c r="E316" s="83">
        <f>E317</f>
        <v>302345.86</v>
      </c>
      <c r="F316" s="83">
        <f>F317</f>
        <v>749914.86</v>
      </c>
      <c r="G316" s="71">
        <f t="shared" si="48"/>
        <v>0.002254043897113791</v>
      </c>
      <c r="H316" s="83">
        <f t="shared" si="42"/>
        <v>360352.14</v>
      </c>
      <c r="I316" s="83">
        <f>I317</f>
        <v>279321.18999999994</v>
      </c>
      <c r="J316" s="83">
        <f>J317</f>
        <v>726889.19</v>
      </c>
      <c r="K316" s="51">
        <f t="shared" si="49"/>
        <v>0.0024346426999384803</v>
      </c>
      <c r="L316" s="94">
        <f t="shared" si="41"/>
        <v>383377.81000000006</v>
      </c>
    </row>
    <row r="317" spans="1:12" ht="15">
      <c r="A317" s="61" t="s">
        <v>28</v>
      </c>
      <c r="B317" s="66" t="s">
        <v>33</v>
      </c>
      <c r="C317" s="84">
        <v>1010267</v>
      </c>
      <c r="D317" s="84">
        <v>1110267</v>
      </c>
      <c r="E317" s="84">
        <f>F317-447569</f>
        <v>302345.86</v>
      </c>
      <c r="F317" s="84">
        <v>749914.86</v>
      </c>
      <c r="G317" s="64">
        <f t="shared" si="48"/>
        <v>0.002254043897113791</v>
      </c>
      <c r="H317" s="84">
        <f t="shared" si="42"/>
        <v>360352.14</v>
      </c>
      <c r="I317" s="84">
        <f>J317-447568</f>
        <v>279321.18999999994</v>
      </c>
      <c r="J317" s="84">
        <v>726889.19</v>
      </c>
      <c r="K317" s="56">
        <f t="shared" si="49"/>
        <v>0.0024346426999384803</v>
      </c>
      <c r="L317" s="95">
        <f t="shared" si="41"/>
        <v>383377.81000000006</v>
      </c>
    </row>
    <row r="318" spans="1:12" ht="14.25">
      <c r="A318" s="74" t="s">
        <v>133</v>
      </c>
      <c r="B318" s="72" t="s">
        <v>134</v>
      </c>
      <c r="C318" s="83">
        <f>C319</f>
        <v>612858</v>
      </c>
      <c r="D318" s="83">
        <f>D319</f>
        <v>612858</v>
      </c>
      <c r="E318" s="83">
        <f>E319</f>
        <v>106055.09999999998</v>
      </c>
      <c r="F318" s="83">
        <f>F319</f>
        <v>270098.1</v>
      </c>
      <c r="G318" s="71">
        <f t="shared" si="48"/>
        <v>0.0008118427922964886</v>
      </c>
      <c r="H318" s="83">
        <f t="shared" si="42"/>
        <v>342759.9</v>
      </c>
      <c r="I318" s="83">
        <f>I319</f>
        <v>106055.09999999998</v>
      </c>
      <c r="J318" s="83">
        <f>J319</f>
        <v>266798.1</v>
      </c>
      <c r="K318" s="51">
        <f t="shared" si="49"/>
        <v>0.0008936135733734832</v>
      </c>
      <c r="L318" s="94">
        <f t="shared" si="41"/>
        <v>346059.9</v>
      </c>
    </row>
    <row r="319" spans="1:12" ht="15">
      <c r="A319" s="68" t="s">
        <v>28</v>
      </c>
      <c r="B319" s="62" t="s">
        <v>33</v>
      </c>
      <c r="C319" s="84">
        <v>612858</v>
      </c>
      <c r="D319" s="84">
        <v>612858</v>
      </c>
      <c r="E319" s="84">
        <f>F319-164043</f>
        <v>106055.09999999998</v>
      </c>
      <c r="F319" s="84">
        <v>270098.1</v>
      </c>
      <c r="G319" s="64">
        <f t="shared" si="48"/>
        <v>0.0008118427922964886</v>
      </c>
      <c r="H319" s="84">
        <f t="shared" si="42"/>
        <v>342759.9</v>
      </c>
      <c r="I319" s="84">
        <f>J319-160743</f>
        <v>106055.09999999998</v>
      </c>
      <c r="J319" s="84">
        <v>266798.1</v>
      </c>
      <c r="K319" s="56">
        <f t="shared" si="49"/>
        <v>0.0008936135733734832</v>
      </c>
      <c r="L319" s="95">
        <f t="shared" si="41"/>
        <v>346059.9</v>
      </c>
    </row>
    <row r="320" spans="1:12" ht="14.25">
      <c r="A320" s="75" t="s">
        <v>138</v>
      </c>
      <c r="B320" s="76" t="s">
        <v>137</v>
      </c>
      <c r="C320" s="83">
        <f>C321</f>
        <v>241380</v>
      </c>
      <c r="D320" s="83">
        <f>D321</f>
        <v>255780</v>
      </c>
      <c r="E320" s="83">
        <f>E321</f>
        <v>3300.279999999999</v>
      </c>
      <c r="F320" s="83">
        <f>F321</f>
        <v>63930.28</v>
      </c>
      <c r="G320" s="71">
        <f t="shared" si="48"/>
        <v>0.0001921573570028681</v>
      </c>
      <c r="H320" s="83">
        <f t="shared" si="42"/>
        <v>191849.72</v>
      </c>
      <c r="I320" s="83">
        <f>I321</f>
        <v>44460.28</v>
      </c>
      <c r="J320" s="83">
        <f>J321</f>
        <v>63930.28</v>
      </c>
      <c r="K320" s="51">
        <f t="shared" si="49"/>
        <v>0.00021412808396149496</v>
      </c>
      <c r="L320" s="94">
        <f t="shared" si="41"/>
        <v>191849.72</v>
      </c>
    </row>
    <row r="321" spans="1:12" ht="15">
      <c r="A321" s="68" t="s">
        <v>28</v>
      </c>
      <c r="B321" s="62" t="s">
        <v>33</v>
      </c>
      <c r="C321" s="84">
        <v>241380</v>
      </c>
      <c r="D321" s="84">
        <v>255780</v>
      </c>
      <c r="E321" s="84">
        <f>F321-60630</f>
        <v>3300.279999999999</v>
      </c>
      <c r="F321" s="84">
        <v>63930.28</v>
      </c>
      <c r="G321" s="64">
        <f t="shared" si="48"/>
        <v>0.0001921573570028681</v>
      </c>
      <c r="H321" s="84">
        <f t="shared" si="42"/>
        <v>191849.72</v>
      </c>
      <c r="I321" s="84">
        <f>J321-19470</f>
        <v>44460.28</v>
      </c>
      <c r="J321" s="84">
        <v>63930.28</v>
      </c>
      <c r="K321" s="56">
        <f t="shared" si="49"/>
        <v>0.00021412808396149496</v>
      </c>
      <c r="L321" s="95">
        <f t="shared" si="41"/>
        <v>191849.72</v>
      </c>
    </row>
    <row r="322" spans="1:12" ht="14.25">
      <c r="A322" s="47" t="s">
        <v>141</v>
      </c>
      <c r="B322" s="50" t="s">
        <v>142</v>
      </c>
      <c r="C322" s="83">
        <f>C323</f>
        <v>0</v>
      </c>
      <c r="D322" s="83">
        <f>D323</f>
        <v>0</v>
      </c>
      <c r="E322" s="83">
        <f>E323</f>
        <v>0</v>
      </c>
      <c r="F322" s="83">
        <f>F323</f>
        <v>0</v>
      </c>
      <c r="G322" s="71">
        <f>(F322/$F$258)*100</f>
        <v>0</v>
      </c>
      <c r="H322" s="83">
        <f>D322-F322</f>
        <v>0</v>
      </c>
      <c r="I322" s="83">
        <f>I323</f>
        <v>0</v>
      </c>
      <c r="J322" s="83">
        <f>J323</f>
        <v>0</v>
      </c>
      <c r="K322" s="51">
        <f t="shared" si="49"/>
        <v>0</v>
      </c>
      <c r="L322" s="94">
        <f t="shared" si="41"/>
        <v>0</v>
      </c>
    </row>
    <row r="323" spans="1:12" ht="15">
      <c r="A323" s="68" t="s">
        <v>143</v>
      </c>
      <c r="B323" s="62" t="s">
        <v>144</v>
      </c>
      <c r="C323" s="84">
        <v>0</v>
      </c>
      <c r="D323" s="84">
        <v>0</v>
      </c>
      <c r="E323" s="84">
        <f>F323-0</f>
        <v>0</v>
      </c>
      <c r="F323" s="84">
        <v>0</v>
      </c>
      <c r="G323" s="64">
        <f>(F323/$F$258)*100</f>
        <v>0</v>
      </c>
      <c r="H323" s="84">
        <f t="shared" si="42"/>
        <v>0</v>
      </c>
      <c r="I323" s="84">
        <f>J323-0</f>
        <v>0</v>
      </c>
      <c r="J323" s="84">
        <v>0</v>
      </c>
      <c r="K323" s="56">
        <f>(J323/$J$258)*100</f>
        <v>0</v>
      </c>
      <c r="L323" s="95">
        <f t="shared" si="41"/>
        <v>0</v>
      </c>
    </row>
    <row r="324" spans="1:12" ht="14.25">
      <c r="A324" s="75" t="s">
        <v>149</v>
      </c>
      <c r="B324" s="76" t="s">
        <v>150</v>
      </c>
      <c r="C324" s="83">
        <f>C325</f>
        <v>21455221</v>
      </c>
      <c r="D324" s="83">
        <f>D325</f>
        <v>32655221</v>
      </c>
      <c r="E324" s="83">
        <f>E325</f>
        <v>2040148.4400000004</v>
      </c>
      <c r="F324" s="83">
        <f>F325</f>
        <v>6133193.44</v>
      </c>
      <c r="G324" s="71">
        <f t="shared" si="48"/>
        <v>0.018434742369620918</v>
      </c>
      <c r="H324" s="83">
        <f aca="true" t="shared" si="50" ref="H324:H330">D324-F324</f>
        <v>26522027.56</v>
      </c>
      <c r="I324" s="83">
        <f>I325</f>
        <v>2030430.83</v>
      </c>
      <c r="J324" s="83">
        <f>J325</f>
        <v>6091831.83</v>
      </c>
      <c r="K324" s="51">
        <f t="shared" si="49"/>
        <v>0.020403981924896113</v>
      </c>
      <c r="L324" s="94">
        <f t="shared" si="41"/>
        <v>26563389.17</v>
      </c>
    </row>
    <row r="325" spans="1:12" ht="15">
      <c r="A325" s="68" t="s">
        <v>28</v>
      </c>
      <c r="B325" s="62" t="s">
        <v>33</v>
      </c>
      <c r="C325" s="84">
        <v>21455221</v>
      </c>
      <c r="D325" s="84">
        <v>32655221</v>
      </c>
      <c r="E325" s="84">
        <f>F325-4093045</f>
        <v>2040148.4400000004</v>
      </c>
      <c r="F325" s="84">
        <v>6133193.44</v>
      </c>
      <c r="G325" s="64">
        <f t="shared" si="48"/>
        <v>0.018434742369620918</v>
      </c>
      <c r="H325" s="84">
        <f t="shared" si="50"/>
        <v>26522027.56</v>
      </c>
      <c r="I325" s="84">
        <f>J325-4061401</f>
        <v>2030430.83</v>
      </c>
      <c r="J325" s="84">
        <v>6091831.83</v>
      </c>
      <c r="K325" s="56">
        <f t="shared" si="49"/>
        <v>0.020403981924896113</v>
      </c>
      <c r="L325" s="95">
        <f t="shared" si="41"/>
        <v>26563389.17</v>
      </c>
    </row>
    <row r="326" spans="1:12" ht="14.25">
      <c r="A326" s="75" t="s">
        <v>158</v>
      </c>
      <c r="B326" s="76" t="s">
        <v>159</v>
      </c>
      <c r="C326" s="83">
        <f>SUM(C327:C329)</f>
        <v>9292339</v>
      </c>
      <c r="D326" s="83">
        <f>SUM(D327:D329)</f>
        <v>10165939</v>
      </c>
      <c r="E326" s="83">
        <f>SUM(E327:E329)</f>
        <v>1416920.1399999997</v>
      </c>
      <c r="F326" s="83">
        <f>SUM(F327:F329)</f>
        <v>4246813.14</v>
      </c>
      <c r="G326" s="71">
        <f t="shared" si="48"/>
        <v>0.012764786712453804</v>
      </c>
      <c r="H326" s="83">
        <f t="shared" si="50"/>
        <v>5919125.86</v>
      </c>
      <c r="I326" s="83">
        <f>SUM(I327:I328)</f>
        <v>1365668.0299999998</v>
      </c>
      <c r="J326" s="83">
        <f>SUM(J327:J328)</f>
        <v>4140488.03</v>
      </c>
      <c r="K326" s="51">
        <f t="shared" si="49"/>
        <v>0.013868150875131545</v>
      </c>
      <c r="L326" s="94">
        <f t="shared" si="41"/>
        <v>6025450.970000001</v>
      </c>
    </row>
    <row r="327" spans="1:12" ht="15">
      <c r="A327" s="68" t="s">
        <v>28</v>
      </c>
      <c r="B327" s="62" t="s">
        <v>33</v>
      </c>
      <c r="C327" s="84">
        <v>8944339</v>
      </c>
      <c r="D327" s="84">
        <v>9817939</v>
      </c>
      <c r="E327" s="84">
        <f>F327-2829893</f>
        <v>1416920.1399999997</v>
      </c>
      <c r="F327" s="84">
        <v>4246813.14</v>
      </c>
      <c r="G327" s="71">
        <f t="shared" si="48"/>
        <v>0.012764786712453804</v>
      </c>
      <c r="H327" s="84">
        <f t="shared" si="50"/>
        <v>5571125.86</v>
      </c>
      <c r="I327" s="84">
        <f>J327-2774820</f>
        <v>1365668.0299999998</v>
      </c>
      <c r="J327" s="84">
        <v>4140488.03</v>
      </c>
      <c r="K327" s="56">
        <f t="shared" si="49"/>
        <v>0.013868150875131545</v>
      </c>
      <c r="L327" s="95">
        <f t="shared" si="41"/>
        <v>5677450.970000001</v>
      </c>
    </row>
    <row r="328" spans="1:12" ht="15">
      <c r="A328" s="68" t="s">
        <v>96</v>
      </c>
      <c r="B328" s="62" t="s">
        <v>102</v>
      </c>
      <c r="C328" s="84">
        <v>0</v>
      </c>
      <c r="D328" s="84">
        <v>0</v>
      </c>
      <c r="E328" s="84">
        <f>F328-0</f>
        <v>0</v>
      </c>
      <c r="F328" s="84">
        <v>0</v>
      </c>
      <c r="G328" s="71">
        <f t="shared" si="48"/>
        <v>0</v>
      </c>
      <c r="H328" s="84">
        <f t="shared" si="50"/>
        <v>0</v>
      </c>
      <c r="I328" s="84">
        <f>J328-0</f>
        <v>0</v>
      </c>
      <c r="J328" s="84">
        <v>0</v>
      </c>
      <c r="K328" s="56">
        <f t="shared" si="49"/>
        <v>0</v>
      </c>
      <c r="L328" s="95">
        <f t="shared" si="41"/>
        <v>0</v>
      </c>
    </row>
    <row r="329" spans="1:12" ht="15">
      <c r="A329" s="68" t="s">
        <v>97</v>
      </c>
      <c r="B329" s="62" t="s">
        <v>237</v>
      </c>
      <c r="C329" s="84">
        <v>348000</v>
      </c>
      <c r="D329" s="84">
        <v>348000</v>
      </c>
      <c r="E329" s="84">
        <f>F329-0</f>
        <v>0</v>
      </c>
      <c r="F329" s="84">
        <v>0</v>
      </c>
      <c r="G329" s="71">
        <f t="shared" si="48"/>
        <v>0</v>
      </c>
      <c r="H329" s="84">
        <f t="shared" si="50"/>
        <v>348000</v>
      </c>
      <c r="I329" s="84">
        <f>J329-0</f>
        <v>0</v>
      </c>
      <c r="J329" s="84">
        <v>0</v>
      </c>
      <c r="K329" s="56">
        <f t="shared" si="49"/>
        <v>0</v>
      </c>
      <c r="L329" s="95">
        <f t="shared" si="41"/>
        <v>348000</v>
      </c>
    </row>
    <row r="330" spans="1:12" ht="14.25">
      <c r="A330" s="75" t="s">
        <v>162</v>
      </c>
      <c r="B330" s="76" t="s">
        <v>163</v>
      </c>
      <c r="C330" s="83">
        <f>SUM(C331:C333)</f>
        <v>5490710</v>
      </c>
      <c r="D330" s="83">
        <f>SUM(D331:D333)</f>
        <v>5695724.71</v>
      </c>
      <c r="E330" s="83">
        <f>SUM(E331:E333)</f>
        <v>879641.69</v>
      </c>
      <c r="F330" s="83">
        <f>SUM(F331:F333)</f>
        <v>2474651.69</v>
      </c>
      <c r="G330" s="71">
        <f t="shared" si="48"/>
        <v>0.007438142430364467</v>
      </c>
      <c r="H330" s="83">
        <f t="shared" si="50"/>
        <v>3221073.02</v>
      </c>
      <c r="I330" s="83">
        <f>SUM(I331:I333)</f>
        <v>841378.6</v>
      </c>
      <c r="J330" s="83">
        <f>SUM(J331:J333)</f>
        <v>2422809.6</v>
      </c>
      <c r="K330" s="51">
        <f t="shared" si="49"/>
        <v>0.008114958630738299</v>
      </c>
      <c r="L330" s="94">
        <f t="shared" si="41"/>
        <v>3272915.11</v>
      </c>
    </row>
    <row r="331" spans="1:12" ht="15">
      <c r="A331" s="61" t="s">
        <v>28</v>
      </c>
      <c r="B331" s="53" t="s">
        <v>33</v>
      </c>
      <c r="C331" s="84">
        <v>5479210</v>
      </c>
      <c r="D331" s="84">
        <v>5614881.71</v>
      </c>
      <c r="E331" s="84">
        <f>F331-1595010</f>
        <v>838506.3999999999</v>
      </c>
      <c r="F331" s="84">
        <v>2433516.4</v>
      </c>
      <c r="G331" s="64">
        <f t="shared" si="48"/>
        <v>0.007314500728717822</v>
      </c>
      <c r="H331" s="84">
        <f>D331-F331</f>
        <v>3181365.31</v>
      </c>
      <c r="I331" s="84">
        <f>J331-1581431</f>
        <v>811996.25</v>
      </c>
      <c r="J331" s="84">
        <v>2393427.25</v>
      </c>
      <c r="K331" s="56">
        <f t="shared" si="49"/>
        <v>0.008016545385750381</v>
      </c>
      <c r="L331" s="95">
        <f t="shared" si="41"/>
        <v>3221454.46</v>
      </c>
    </row>
    <row r="332" spans="1:12" ht="15">
      <c r="A332" s="61" t="s">
        <v>172</v>
      </c>
      <c r="B332" s="53" t="s">
        <v>173</v>
      </c>
      <c r="C332" s="84">
        <v>11500</v>
      </c>
      <c r="D332" s="84">
        <v>11500</v>
      </c>
      <c r="E332" s="84">
        <f>F332-0</f>
        <v>0</v>
      </c>
      <c r="F332" s="84">
        <v>0</v>
      </c>
      <c r="G332" s="64">
        <f t="shared" si="48"/>
        <v>0</v>
      </c>
      <c r="H332" s="84">
        <f>D332-F332</f>
        <v>11500</v>
      </c>
      <c r="I332" s="84">
        <f>J332-0</f>
        <v>0</v>
      </c>
      <c r="J332" s="84">
        <v>0</v>
      </c>
      <c r="K332" s="56">
        <f t="shared" si="49"/>
        <v>0</v>
      </c>
      <c r="L332" s="95">
        <f t="shared" si="41"/>
        <v>11500</v>
      </c>
    </row>
    <row r="333" spans="1:12" ht="15">
      <c r="A333" s="61" t="s">
        <v>275</v>
      </c>
      <c r="B333" s="53" t="s">
        <v>277</v>
      </c>
      <c r="C333" s="84">
        <v>0</v>
      </c>
      <c r="D333" s="84">
        <v>69343</v>
      </c>
      <c r="E333" s="84">
        <f>F333-0</f>
        <v>41135.29</v>
      </c>
      <c r="F333" s="84">
        <v>41135.29</v>
      </c>
      <c r="G333" s="64">
        <f t="shared" si="48"/>
        <v>0.00012364170164664553</v>
      </c>
      <c r="H333" s="84">
        <f>D333-F333</f>
        <v>28207.71</v>
      </c>
      <c r="I333" s="84">
        <f>J333-0</f>
        <v>29382.35</v>
      </c>
      <c r="J333" s="84">
        <v>29382.35</v>
      </c>
      <c r="K333" s="56">
        <f t="shared" si="49"/>
        <v>9.841324498791545E-05</v>
      </c>
      <c r="L333" s="95">
        <f t="shared" si="41"/>
        <v>39960.65</v>
      </c>
    </row>
    <row r="334" spans="1:12" ht="14.25">
      <c r="A334" s="75" t="s">
        <v>175</v>
      </c>
      <c r="B334" s="76" t="s">
        <v>174</v>
      </c>
      <c r="C334" s="83">
        <f>C335</f>
        <v>1571343</v>
      </c>
      <c r="D334" s="83">
        <f>D335</f>
        <v>1572343</v>
      </c>
      <c r="E334" s="83">
        <f>E335</f>
        <v>226679.86</v>
      </c>
      <c r="F334" s="83">
        <f>F335</f>
        <v>672276.86</v>
      </c>
      <c r="G334" s="71">
        <f t="shared" si="48"/>
        <v>0.0020206847927427686</v>
      </c>
      <c r="H334" s="83">
        <f aca="true" t="shared" si="51" ref="H334:H342">D334-F334</f>
        <v>900066.14</v>
      </c>
      <c r="I334" s="83">
        <f>I335</f>
        <v>227124.14</v>
      </c>
      <c r="J334" s="83">
        <f>J335</f>
        <v>672239.14</v>
      </c>
      <c r="K334" s="51">
        <f t="shared" si="49"/>
        <v>0.0022515978189384302</v>
      </c>
      <c r="L334" s="94">
        <f>D334-J334</f>
        <v>900103.86</v>
      </c>
    </row>
    <row r="335" spans="1:12" ht="15">
      <c r="A335" s="68" t="s">
        <v>28</v>
      </c>
      <c r="B335" s="62" t="s">
        <v>33</v>
      </c>
      <c r="C335" s="84">
        <v>1571343</v>
      </c>
      <c r="D335" s="84">
        <v>1572343</v>
      </c>
      <c r="E335" s="84">
        <f>F335-445597</f>
        <v>226679.86</v>
      </c>
      <c r="F335" s="84">
        <v>672276.86</v>
      </c>
      <c r="G335" s="64">
        <f t="shared" si="48"/>
        <v>0.0020206847927427686</v>
      </c>
      <c r="H335" s="84">
        <f t="shared" si="51"/>
        <v>900066.14</v>
      </c>
      <c r="I335" s="84">
        <f>J335-445115</f>
        <v>227124.14</v>
      </c>
      <c r="J335" s="84">
        <v>672239.14</v>
      </c>
      <c r="K335" s="56">
        <f t="shared" si="49"/>
        <v>0.0022515978189384302</v>
      </c>
      <c r="L335" s="95">
        <f>D335-J335</f>
        <v>900103.86</v>
      </c>
    </row>
    <row r="336" spans="1:12" ht="14.25">
      <c r="A336" s="75" t="s">
        <v>178</v>
      </c>
      <c r="B336" s="76" t="s">
        <v>179</v>
      </c>
      <c r="C336" s="83">
        <f>C337</f>
        <v>3528508</v>
      </c>
      <c r="D336" s="83">
        <f>D337</f>
        <v>3528508</v>
      </c>
      <c r="E336" s="83">
        <f>E337</f>
        <v>-25858.469999999972</v>
      </c>
      <c r="F336" s="83">
        <f>F337</f>
        <v>789010.53</v>
      </c>
      <c r="G336" s="71">
        <f t="shared" si="48"/>
        <v>0.002371555045468785</v>
      </c>
      <c r="H336" s="83">
        <f t="shared" si="51"/>
        <v>2739497.4699999997</v>
      </c>
      <c r="I336" s="83">
        <f>I337</f>
        <v>-25858.469999999972</v>
      </c>
      <c r="J336" s="83">
        <f>J337</f>
        <v>786164.53</v>
      </c>
      <c r="K336" s="51">
        <f t="shared" si="49"/>
        <v>0.002633179527563296</v>
      </c>
      <c r="L336" s="94">
        <f>D336-J336</f>
        <v>2742343.4699999997</v>
      </c>
    </row>
    <row r="337" spans="1:12" ht="15">
      <c r="A337" s="68" t="s">
        <v>28</v>
      </c>
      <c r="B337" s="62" t="s">
        <v>33</v>
      </c>
      <c r="C337" s="84">
        <v>3528508</v>
      </c>
      <c r="D337" s="84">
        <v>3528508</v>
      </c>
      <c r="E337" s="84">
        <f>F337-814869</f>
        <v>-25858.469999999972</v>
      </c>
      <c r="F337" s="84">
        <v>789010.53</v>
      </c>
      <c r="G337" s="64">
        <f t="shared" si="48"/>
        <v>0.002371555045468785</v>
      </c>
      <c r="H337" s="84">
        <f t="shared" si="51"/>
        <v>2739497.4699999997</v>
      </c>
      <c r="I337" s="84">
        <f>J337-812023</f>
        <v>-25858.469999999972</v>
      </c>
      <c r="J337" s="84">
        <v>786164.53</v>
      </c>
      <c r="K337" s="56">
        <f t="shared" si="49"/>
        <v>0.002633179527563296</v>
      </c>
      <c r="L337" s="95">
        <f aca="true" t="shared" si="52" ref="L337:L342">D337-J337</f>
        <v>2742343.4699999997</v>
      </c>
    </row>
    <row r="338" spans="1:12" ht="14.25">
      <c r="A338" s="75" t="s">
        <v>189</v>
      </c>
      <c r="B338" s="76" t="s">
        <v>190</v>
      </c>
      <c r="C338" s="83">
        <f>C339</f>
        <v>4322694</v>
      </c>
      <c r="D338" s="83">
        <f>D339</f>
        <v>4324694</v>
      </c>
      <c r="E338" s="83">
        <f>E339</f>
        <v>627478.8400000001</v>
      </c>
      <c r="F338" s="83">
        <f>F339</f>
        <v>1912576.84</v>
      </c>
      <c r="G338" s="71">
        <f t="shared" si="48"/>
        <v>0.005748695463859963</v>
      </c>
      <c r="H338" s="83">
        <f t="shared" si="51"/>
        <v>2412117.16</v>
      </c>
      <c r="I338" s="83">
        <f>I339</f>
        <v>601051.99</v>
      </c>
      <c r="J338" s="83">
        <f>J339</f>
        <v>1765073.99</v>
      </c>
      <c r="K338" s="51">
        <f t="shared" si="49"/>
        <v>0.0059119389361187045</v>
      </c>
      <c r="L338" s="94">
        <f t="shared" si="52"/>
        <v>2559620.01</v>
      </c>
    </row>
    <row r="339" spans="1:12" ht="15">
      <c r="A339" s="68" t="s">
        <v>28</v>
      </c>
      <c r="B339" s="62" t="s">
        <v>33</v>
      </c>
      <c r="C339" s="84">
        <v>4322694</v>
      </c>
      <c r="D339" s="84">
        <v>4324694</v>
      </c>
      <c r="E339" s="84">
        <f>F339-1285098</f>
        <v>627478.8400000001</v>
      </c>
      <c r="F339" s="84">
        <v>1912576.84</v>
      </c>
      <c r="G339" s="64">
        <f t="shared" si="48"/>
        <v>0.005748695463859963</v>
      </c>
      <c r="H339" s="84">
        <f t="shared" si="51"/>
        <v>2412117.16</v>
      </c>
      <c r="I339" s="84">
        <f>J339-1164022</f>
        <v>601051.99</v>
      </c>
      <c r="J339" s="84">
        <v>1765073.99</v>
      </c>
      <c r="K339" s="56">
        <f t="shared" si="49"/>
        <v>0.0059119389361187045</v>
      </c>
      <c r="L339" s="95">
        <f>D339-J339</f>
        <v>2559620.01</v>
      </c>
    </row>
    <row r="340" spans="1:12" ht="14.25">
      <c r="A340" s="75" t="s">
        <v>195</v>
      </c>
      <c r="B340" s="76" t="s">
        <v>196</v>
      </c>
      <c r="C340" s="83">
        <f>SUM(C341:C341)</f>
        <v>12681725</v>
      </c>
      <c r="D340" s="83">
        <f>SUM(D341:D341)</f>
        <v>13262138.36</v>
      </c>
      <c r="E340" s="83">
        <f>SUM(E341:E341)</f>
        <v>1900443.5199999996</v>
      </c>
      <c r="F340" s="83">
        <f>SUM(F341:F341)</f>
        <v>5671278.52</v>
      </c>
      <c r="G340" s="71">
        <f t="shared" si="48"/>
        <v>0.017046349417370567</v>
      </c>
      <c r="H340" s="83">
        <f t="shared" si="51"/>
        <v>7590859.84</v>
      </c>
      <c r="I340" s="83">
        <f>SUM(I341:I341)</f>
        <v>1895263.9699999997</v>
      </c>
      <c r="J340" s="83">
        <f>SUM(J341:J341)</f>
        <v>5558154.97</v>
      </c>
      <c r="K340" s="51">
        <f t="shared" si="49"/>
        <v>0.018616484615539934</v>
      </c>
      <c r="L340" s="94">
        <f t="shared" si="52"/>
        <v>7703983.39</v>
      </c>
    </row>
    <row r="341" spans="1:12" ht="15">
      <c r="A341" s="68" t="s">
        <v>28</v>
      </c>
      <c r="B341" s="62" t="s">
        <v>33</v>
      </c>
      <c r="C341" s="84">
        <v>12681725</v>
      </c>
      <c r="D341" s="84">
        <v>13262138.36</v>
      </c>
      <c r="E341" s="84">
        <f>F341-3770835</f>
        <v>1900443.5199999996</v>
      </c>
      <c r="F341" s="84">
        <v>5671278.52</v>
      </c>
      <c r="G341" s="71">
        <f t="shared" si="48"/>
        <v>0.017046349417370567</v>
      </c>
      <c r="H341" s="84">
        <f t="shared" si="51"/>
        <v>7590859.84</v>
      </c>
      <c r="I341" s="84">
        <f>J341-3662891</f>
        <v>1895263.9699999997</v>
      </c>
      <c r="J341" s="84">
        <v>5558154.97</v>
      </c>
      <c r="K341" s="56">
        <f t="shared" si="49"/>
        <v>0.018616484615539934</v>
      </c>
      <c r="L341" s="95">
        <f t="shared" si="52"/>
        <v>7703983.39</v>
      </c>
    </row>
    <row r="342" spans="1:12" ht="14.25">
      <c r="A342" s="75" t="s">
        <v>203</v>
      </c>
      <c r="B342" s="76" t="s">
        <v>204</v>
      </c>
      <c r="C342" s="83">
        <f>SUM(C343:C343)</f>
        <v>1004403</v>
      </c>
      <c r="D342" s="83">
        <f>SUM(D343:D343)</f>
        <v>1004403</v>
      </c>
      <c r="E342" s="83">
        <f>SUM(E343:E343)</f>
        <v>158914.46000000002</v>
      </c>
      <c r="F342" s="83">
        <f>SUM(F343:F343)</f>
        <v>477531.46</v>
      </c>
      <c r="G342" s="71">
        <f t="shared" si="48"/>
        <v>0.00143533210302412</v>
      </c>
      <c r="H342" s="83">
        <f t="shared" si="51"/>
        <v>526871.54</v>
      </c>
      <c r="I342" s="83">
        <f>SUM(I343:I343)</f>
        <v>158914.46000000002</v>
      </c>
      <c r="J342" s="83">
        <f>SUM(J343:J343)</f>
        <v>477531.46</v>
      </c>
      <c r="K342" s="51">
        <f t="shared" si="49"/>
        <v>0.001599443902969536</v>
      </c>
      <c r="L342" s="94">
        <f t="shared" si="52"/>
        <v>526871.54</v>
      </c>
    </row>
    <row r="343" spans="1:12" ht="15">
      <c r="A343" s="68" t="s">
        <v>28</v>
      </c>
      <c r="B343" s="62" t="s">
        <v>33</v>
      </c>
      <c r="C343" s="84">
        <v>1004403</v>
      </c>
      <c r="D343" s="84">
        <v>1004403</v>
      </c>
      <c r="E343" s="84">
        <f>F343-318617</f>
        <v>158914.46000000002</v>
      </c>
      <c r="F343" s="84">
        <v>477531.46</v>
      </c>
      <c r="G343" s="64">
        <f t="shared" si="48"/>
        <v>0.00143533210302412</v>
      </c>
      <c r="H343" s="84">
        <f>D343-F343</f>
        <v>526871.54</v>
      </c>
      <c r="I343" s="84">
        <f>J343-318617</f>
        <v>158914.46000000002</v>
      </c>
      <c r="J343" s="84">
        <v>477531.46</v>
      </c>
      <c r="K343" s="56">
        <f t="shared" si="49"/>
        <v>0.001599443902969536</v>
      </c>
      <c r="L343" s="95">
        <f>D343-J343</f>
        <v>526871.54</v>
      </c>
    </row>
    <row r="344" spans="1:12" ht="15">
      <c r="A344" s="68" t="s">
        <v>207</v>
      </c>
      <c r="B344" s="62" t="s">
        <v>208</v>
      </c>
      <c r="C344" s="84">
        <v>0</v>
      </c>
      <c r="D344" s="84">
        <v>0</v>
      </c>
      <c r="E344" s="84">
        <f>F344-0</f>
        <v>0</v>
      </c>
      <c r="F344" s="84">
        <v>0</v>
      </c>
      <c r="G344" s="64">
        <f t="shared" si="48"/>
        <v>0</v>
      </c>
      <c r="H344" s="84">
        <f>D344-F344</f>
        <v>0</v>
      </c>
      <c r="I344" s="84">
        <f>J344-0</f>
        <v>0</v>
      </c>
      <c r="J344" s="84">
        <v>0</v>
      </c>
      <c r="K344" s="56">
        <f t="shared" si="49"/>
        <v>0</v>
      </c>
      <c r="L344" s="95">
        <f>D344-J344</f>
        <v>0</v>
      </c>
    </row>
    <row r="345" spans="1:12" ht="14.25">
      <c r="A345" s="75" t="s">
        <v>211</v>
      </c>
      <c r="B345" s="76" t="s">
        <v>212</v>
      </c>
      <c r="C345" s="83">
        <f>C346</f>
        <v>851526000</v>
      </c>
      <c r="D345" s="83">
        <f>D346</f>
        <v>1259426000</v>
      </c>
      <c r="E345" s="83">
        <f>E346</f>
        <v>215378749.40999997</v>
      </c>
      <c r="F345" s="83">
        <f>F346</f>
        <v>614906031.41</v>
      </c>
      <c r="G345" s="71">
        <f t="shared" si="48"/>
        <v>1.848243395787852</v>
      </c>
      <c r="H345" s="83">
        <f>D345-F345</f>
        <v>644519968.59</v>
      </c>
      <c r="I345" s="83">
        <f>I346</f>
        <v>215378749.40999997</v>
      </c>
      <c r="J345" s="83">
        <f>J346</f>
        <v>614906031.41</v>
      </c>
      <c r="K345" s="51">
        <f t="shared" si="49"/>
        <v>2.0595663013237253</v>
      </c>
      <c r="L345" s="94">
        <f>D345-J345</f>
        <v>644519968.59</v>
      </c>
    </row>
    <row r="346" spans="1:12" ht="15">
      <c r="A346" s="68" t="s">
        <v>39</v>
      </c>
      <c r="B346" s="62" t="s">
        <v>41</v>
      </c>
      <c r="C346" s="84">
        <v>851526000</v>
      </c>
      <c r="D346" s="84">
        <v>1259426000</v>
      </c>
      <c r="E346" s="84">
        <f>F346-399527282</f>
        <v>215378749.40999997</v>
      </c>
      <c r="F346" s="84">
        <v>614906031.41</v>
      </c>
      <c r="G346" s="64">
        <f>(F346/$F$258)*100</f>
        <v>1.848243395787852</v>
      </c>
      <c r="H346" s="84">
        <f>D346-F346</f>
        <v>644519968.59</v>
      </c>
      <c r="I346" s="84">
        <f>J346-399527282</f>
        <v>215378749.40999997</v>
      </c>
      <c r="J346" s="84">
        <v>614906031.41</v>
      </c>
      <c r="K346" s="56">
        <f>(J346/$J$258)*100</f>
        <v>2.0595663013237253</v>
      </c>
      <c r="L346" s="95">
        <f>D346-J346</f>
        <v>644519968.59</v>
      </c>
    </row>
    <row r="347" spans="1:12" ht="14.25">
      <c r="A347" s="77" t="s">
        <v>221</v>
      </c>
      <c r="B347" s="78" t="s">
        <v>222</v>
      </c>
      <c r="C347" s="96">
        <v>0</v>
      </c>
      <c r="D347" s="96">
        <v>0</v>
      </c>
      <c r="E347" s="96">
        <f>F347-0</f>
        <v>0</v>
      </c>
      <c r="F347" s="96">
        <v>0</v>
      </c>
      <c r="G347" s="79">
        <f>(F347/$F$258)*100</f>
        <v>0</v>
      </c>
      <c r="H347" s="96">
        <f>D347-F347</f>
        <v>0</v>
      </c>
      <c r="I347" s="96">
        <f>J347-0</f>
        <v>0</v>
      </c>
      <c r="J347" s="96">
        <v>0</v>
      </c>
      <c r="K347" s="79">
        <f>(J347/$J$258)*100</f>
        <v>0</v>
      </c>
      <c r="L347" s="97">
        <f>D347-J347</f>
        <v>0</v>
      </c>
    </row>
    <row r="348" spans="1:12" ht="15.75">
      <c r="A348" s="44" t="s">
        <v>262</v>
      </c>
      <c r="B348" s="26"/>
      <c r="C348" s="26"/>
      <c r="D348" s="26"/>
      <c r="E348" s="26"/>
      <c r="F348" s="45"/>
      <c r="G348" s="38"/>
      <c r="H348" s="26"/>
      <c r="I348" s="26"/>
      <c r="J348" s="26"/>
      <c r="K348" s="26"/>
      <c r="L348" s="80" t="s">
        <v>227</v>
      </c>
    </row>
    <row r="349" spans="1:12" ht="15.75">
      <c r="A349" s="44" t="s">
        <v>263</v>
      </c>
      <c r="B349" s="26"/>
      <c r="C349" s="26"/>
      <c r="D349" s="26"/>
      <c r="E349" s="26"/>
      <c r="F349" s="26"/>
      <c r="G349" s="26"/>
      <c r="H349" s="26"/>
      <c r="I349" s="46"/>
      <c r="J349" s="26"/>
      <c r="K349" s="26"/>
      <c r="L349" s="26"/>
    </row>
    <row r="350" spans="1:12" ht="15.75">
      <c r="A350" s="44" t="s">
        <v>280</v>
      </c>
      <c r="B350" s="26"/>
      <c r="C350" s="26"/>
      <c r="D350" s="26"/>
      <c r="E350" s="26"/>
      <c r="F350" s="26"/>
      <c r="G350" s="26"/>
      <c r="H350" s="26"/>
      <c r="I350" s="26"/>
      <c r="J350" s="46"/>
      <c r="K350" s="26"/>
      <c r="L350" s="26"/>
    </row>
    <row r="351" spans="1:12" ht="15.75">
      <c r="A351" s="44"/>
      <c r="B351" s="26"/>
      <c r="C351" s="26"/>
      <c r="D351" s="26"/>
      <c r="E351" s="26"/>
      <c r="F351" s="26"/>
      <c r="G351" s="26"/>
      <c r="H351" s="26"/>
      <c r="I351" s="26"/>
      <c r="J351" s="26"/>
      <c r="K351" s="26"/>
      <c r="L351" s="26"/>
    </row>
    <row r="352" spans="1:12" ht="15.75">
      <c r="A352" s="44"/>
      <c r="B352" s="26"/>
      <c r="C352" s="26"/>
      <c r="D352" s="26"/>
      <c r="E352" s="26"/>
      <c r="F352" s="26"/>
      <c r="G352" s="26"/>
      <c r="H352" s="26"/>
      <c r="I352" s="26"/>
      <c r="J352" s="26"/>
      <c r="K352" s="26"/>
      <c r="L352" s="26"/>
    </row>
    <row r="353" spans="1:12" ht="15.75">
      <c r="A353" s="44"/>
      <c r="B353" s="26"/>
      <c r="C353" s="26"/>
      <c r="D353" s="26"/>
      <c r="E353" s="26"/>
      <c r="F353" s="26"/>
      <c r="G353" s="26"/>
      <c r="H353" s="26"/>
      <c r="I353" s="26"/>
      <c r="J353" s="26"/>
      <c r="K353" s="26"/>
      <c r="L353" s="26"/>
    </row>
    <row r="354" spans="1:12" ht="15.75">
      <c r="A354" s="44"/>
      <c r="B354" s="26"/>
      <c r="C354" s="26"/>
      <c r="D354" s="26"/>
      <c r="E354" s="26"/>
      <c r="F354" s="26"/>
      <c r="G354" s="26"/>
      <c r="H354" s="26"/>
      <c r="I354" s="26"/>
      <c r="J354" s="26"/>
      <c r="K354" s="26"/>
      <c r="L354" s="26"/>
    </row>
    <row r="355" spans="1:12" ht="15.75">
      <c r="A355" s="44"/>
      <c r="B355" s="26"/>
      <c r="C355" s="26"/>
      <c r="D355" s="26"/>
      <c r="E355" s="26"/>
      <c r="F355" s="26"/>
      <c r="G355" s="26"/>
      <c r="H355" s="26"/>
      <c r="I355" s="26"/>
      <c r="J355" s="26"/>
      <c r="K355" s="26"/>
      <c r="L355" s="26"/>
    </row>
    <row r="356" spans="1:12" ht="15.75">
      <c r="A356" s="44"/>
      <c r="B356" s="26"/>
      <c r="C356" s="26"/>
      <c r="D356" s="26"/>
      <c r="E356" s="26"/>
      <c r="F356" s="26"/>
      <c r="G356" s="26"/>
      <c r="H356" s="26"/>
      <c r="I356" s="26"/>
      <c r="J356" s="26"/>
      <c r="K356" s="26"/>
      <c r="L356" s="26"/>
    </row>
    <row r="357" spans="1:12" ht="15.75">
      <c r="A357" s="44"/>
      <c r="B357" s="26"/>
      <c r="C357" s="26"/>
      <c r="D357" s="26"/>
      <c r="E357" s="26"/>
      <c r="F357" s="26"/>
      <c r="G357" s="26"/>
      <c r="H357" s="26"/>
      <c r="I357" s="26"/>
      <c r="J357" s="26"/>
      <c r="K357" s="26"/>
      <c r="L357" s="26"/>
    </row>
    <row r="358" spans="1:12" ht="15.75">
      <c r="A358" s="24"/>
      <c r="B358" s="26"/>
      <c r="C358" s="26"/>
      <c r="D358" s="26"/>
      <c r="E358" s="46"/>
      <c r="F358" s="26"/>
      <c r="G358" s="26"/>
      <c r="H358" s="26"/>
      <c r="I358" s="46"/>
      <c r="J358" s="26"/>
      <c r="K358" s="26"/>
      <c r="L358" s="26"/>
    </row>
    <row r="359" spans="1:12" ht="12.75">
      <c r="A359" s="39"/>
      <c r="B359" s="36"/>
      <c r="C359" s="36"/>
      <c r="D359" s="36"/>
      <c r="E359" s="36"/>
      <c r="F359" s="36"/>
      <c r="G359" s="36"/>
      <c r="H359" s="36"/>
      <c r="I359" s="36"/>
      <c r="J359" s="36"/>
      <c r="K359" s="36"/>
      <c r="L359" s="36"/>
    </row>
    <row r="360" spans="1:12" ht="12.75">
      <c r="A360" s="39"/>
      <c r="B360" s="36"/>
      <c r="C360" s="36"/>
      <c r="D360" s="36"/>
      <c r="E360" s="36"/>
      <c r="F360" s="36"/>
      <c r="G360" s="36"/>
      <c r="H360" s="36"/>
      <c r="I360" s="36"/>
      <c r="J360" s="36"/>
      <c r="K360" s="36"/>
      <c r="L360" s="36"/>
    </row>
    <row r="361" spans="1:12" ht="15.75">
      <c r="A361" s="108" t="s">
        <v>255</v>
      </c>
      <c r="B361" s="108"/>
      <c r="C361" s="103" t="s">
        <v>257</v>
      </c>
      <c r="D361" s="103"/>
      <c r="E361" s="103"/>
      <c r="F361" s="103"/>
      <c r="G361" s="103"/>
      <c r="H361" s="103"/>
      <c r="I361" s="103" t="s">
        <v>261</v>
      </c>
      <c r="J361" s="103"/>
      <c r="K361" s="103"/>
      <c r="L361" s="103"/>
    </row>
    <row r="362" spans="1:12" ht="15.75">
      <c r="A362" s="108" t="s">
        <v>256</v>
      </c>
      <c r="B362" s="108"/>
      <c r="C362" s="103" t="s">
        <v>258</v>
      </c>
      <c r="D362" s="103"/>
      <c r="E362" s="103"/>
      <c r="F362" s="103"/>
      <c r="G362" s="103"/>
      <c r="H362" s="103"/>
      <c r="I362" s="103" t="s">
        <v>260</v>
      </c>
      <c r="J362" s="103"/>
      <c r="K362" s="103"/>
      <c r="L362" s="103"/>
    </row>
    <row r="363" spans="1:12" ht="15.75">
      <c r="A363" s="108" t="s">
        <v>248</v>
      </c>
      <c r="B363" s="108"/>
      <c r="C363" s="103" t="s">
        <v>249</v>
      </c>
      <c r="D363" s="103"/>
      <c r="E363" s="103"/>
      <c r="F363" s="103"/>
      <c r="G363" s="103"/>
      <c r="H363" s="103"/>
      <c r="I363" s="103" t="s">
        <v>259</v>
      </c>
      <c r="J363" s="103"/>
      <c r="K363" s="103"/>
      <c r="L363" s="103"/>
    </row>
    <row r="364" spans="1:12" ht="12.75">
      <c r="A364" s="39"/>
      <c r="B364" s="36"/>
      <c r="C364" s="36"/>
      <c r="D364" s="36"/>
      <c r="E364" s="36"/>
      <c r="F364" s="36"/>
      <c r="G364" s="36"/>
      <c r="H364" s="36"/>
      <c r="I364" s="36"/>
      <c r="J364" s="36"/>
      <c r="K364" s="36"/>
      <c r="L364" s="36"/>
    </row>
    <row r="365" spans="1:12" ht="12.75">
      <c r="A365" s="39"/>
      <c r="B365" s="36"/>
      <c r="C365" s="36"/>
      <c r="D365" s="36"/>
      <c r="E365" s="36"/>
      <c r="F365" s="36"/>
      <c r="G365" s="36"/>
      <c r="H365" s="36"/>
      <c r="I365" s="36"/>
      <c r="J365" s="36"/>
      <c r="K365" s="36"/>
      <c r="L365" s="36"/>
    </row>
    <row r="366" spans="1:12" ht="12.75">
      <c r="A366" s="36"/>
      <c r="B366" s="36"/>
      <c r="C366" s="36"/>
      <c r="D366" s="36"/>
      <c r="E366" s="36"/>
      <c r="F366" s="36"/>
      <c r="G366" s="36"/>
      <c r="H366" s="36"/>
      <c r="I366" s="36"/>
      <c r="J366" s="36"/>
      <c r="K366" s="36"/>
      <c r="L366" s="36"/>
    </row>
    <row r="367" spans="1:12" ht="12.75">
      <c r="A367" s="36"/>
      <c r="B367" s="36"/>
      <c r="C367" s="36"/>
      <c r="D367" s="36"/>
      <c r="E367" s="36"/>
      <c r="F367" s="36"/>
      <c r="G367" s="36"/>
      <c r="H367" s="36"/>
      <c r="I367" s="36"/>
      <c r="J367" s="36"/>
      <c r="K367" s="36"/>
      <c r="L367" s="36"/>
    </row>
    <row r="368" spans="1:12" ht="12.75">
      <c r="A368" s="36"/>
      <c r="B368" s="36"/>
      <c r="C368" s="36"/>
      <c r="D368" s="36"/>
      <c r="E368" s="36"/>
      <c r="F368" s="36"/>
      <c r="G368" s="36"/>
      <c r="H368" s="36"/>
      <c r="I368" s="36"/>
      <c r="J368" s="36"/>
      <c r="K368" s="36"/>
      <c r="L368" s="36"/>
    </row>
    <row r="369" spans="1:12" ht="15">
      <c r="A369" s="43"/>
      <c r="B369" s="35"/>
      <c r="C369" s="35"/>
      <c r="D369" s="35"/>
      <c r="E369" s="35"/>
      <c r="F369" s="35"/>
      <c r="G369" s="35"/>
      <c r="H369" s="35"/>
      <c r="I369" s="35"/>
      <c r="J369" s="35"/>
      <c r="K369" s="35"/>
      <c r="L369" s="35"/>
    </row>
    <row r="370" spans="1:12" ht="12.75">
      <c r="A370" s="39"/>
      <c r="B370" s="36"/>
      <c r="C370" s="36"/>
      <c r="D370" s="36"/>
      <c r="E370" s="36"/>
      <c r="F370" s="36"/>
      <c r="G370" s="36"/>
      <c r="H370" s="36"/>
      <c r="I370" s="36"/>
      <c r="J370" s="36"/>
      <c r="K370" s="36"/>
      <c r="L370" s="36"/>
    </row>
    <row r="371" spans="1:12" ht="12.75">
      <c r="A371" s="39"/>
      <c r="B371" s="36"/>
      <c r="C371" s="36"/>
      <c r="D371" s="36"/>
      <c r="E371" s="36"/>
      <c r="F371" s="36"/>
      <c r="G371" s="36"/>
      <c r="H371" s="36"/>
      <c r="I371" s="36"/>
      <c r="J371" s="36"/>
      <c r="K371" s="36"/>
      <c r="L371" s="36"/>
    </row>
    <row r="372" spans="1:12" ht="12.75">
      <c r="A372" s="39"/>
      <c r="B372" s="36"/>
      <c r="C372" s="36"/>
      <c r="D372" s="36"/>
      <c r="E372" s="36"/>
      <c r="F372" s="36"/>
      <c r="G372" s="36"/>
      <c r="H372" s="36"/>
      <c r="I372" s="36"/>
      <c r="J372" s="36"/>
      <c r="K372" s="36"/>
      <c r="L372" s="36"/>
    </row>
    <row r="373" spans="1:12" ht="12.75">
      <c r="A373" s="39"/>
      <c r="B373" s="36"/>
      <c r="C373" s="36"/>
      <c r="D373" s="36"/>
      <c r="E373" s="36"/>
      <c r="F373" s="36"/>
      <c r="G373" s="36"/>
      <c r="H373" s="36"/>
      <c r="I373" s="36"/>
      <c r="J373" s="36"/>
      <c r="K373" s="36"/>
      <c r="L373" s="36"/>
    </row>
    <row r="374" spans="1:12" ht="12.75">
      <c r="A374" s="39"/>
      <c r="B374" s="36"/>
      <c r="C374" s="36"/>
      <c r="D374" s="36"/>
      <c r="E374" s="36"/>
      <c r="F374" s="36"/>
      <c r="G374" s="36"/>
      <c r="H374" s="36"/>
      <c r="I374" s="36"/>
      <c r="J374" s="36"/>
      <c r="K374" s="36"/>
      <c r="L374" s="36"/>
    </row>
    <row r="375" spans="1:12" ht="12.75">
      <c r="A375" s="39"/>
      <c r="B375" s="36"/>
      <c r="C375" s="36"/>
      <c r="D375" s="36"/>
      <c r="E375" s="36"/>
      <c r="F375" s="36"/>
      <c r="G375" s="36"/>
      <c r="H375" s="36"/>
      <c r="I375" s="36"/>
      <c r="J375" s="36"/>
      <c r="K375" s="36"/>
      <c r="L375" s="36"/>
    </row>
    <row r="376" spans="1:12" ht="12.75">
      <c r="A376" s="39"/>
      <c r="B376" s="36"/>
      <c r="C376" s="36"/>
      <c r="D376" s="36"/>
      <c r="E376" s="36"/>
      <c r="F376" s="36"/>
      <c r="G376" s="36"/>
      <c r="H376" s="36"/>
      <c r="I376" s="36"/>
      <c r="J376" s="36"/>
      <c r="K376" s="36"/>
      <c r="L376" s="36"/>
    </row>
    <row r="377" spans="1:12" ht="12.75">
      <c r="A377" s="39"/>
      <c r="B377" s="36"/>
      <c r="C377" s="36"/>
      <c r="D377" s="36"/>
      <c r="E377" s="36"/>
      <c r="F377" s="36"/>
      <c r="G377" s="36"/>
      <c r="H377" s="36"/>
      <c r="I377" s="36"/>
      <c r="J377" s="36"/>
      <c r="K377" s="36"/>
      <c r="L377" s="36"/>
    </row>
    <row r="378" spans="1:12" ht="12.75">
      <c r="A378" s="39"/>
      <c r="B378" s="36"/>
      <c r="C378" s="36"/>
      <c r="D378" s="36"/>
      <c r="E378" s="36"/>
      <c r="F378" s="36"/>
      <c r="G378" s="36"/>
      <c r="H378" s="36"/>
      <c r="I378" s="36"/>
      <c r="J378" s="36"/>
      <c r="K378" s="36"/>
      <c r="L378" s="36"/>
    </row>
    <row r="379" spans="1:12" ht="12.75">
      <c r="A379" s="39"/>
      <c r="B379" s="36"/>
      <c r="C379" s="36"/>
      <c r="D379" s="36"/>
      <c r="E379" s="36"/>
      <c r="F379" s="36"/>
      <c r="G379" s="36"/>
      <c r="H379" s="36"/>
      <c r="I379" s="36"/>
      <c r="J379" s="36"/>
      <c r="K379" s="36"/>
      <c r="L379" s="36"/>
    </row>
    <row r="380" spans="1:12" ht="12.75">
      <c r="A380" s="39"/>
      <c r="B380" s="36"/>
      <c r="C380" s="36"/>
      <c r="D380" s="36"/>
      <c r="E380" s="36"/>
      <c r="F380" s="36"/>
      <c r="G380" s="36"/>
      <c r="H380" s="36"/>
      <c r="I380" s="36"/>
      <c r="J380" s="36"/>
      <c r="K380" s="36"/>
      <c r="L380" s="36"/>
    </row>
    <row r="381" spans="1:12" ht="12.75">
      <c r="A381" s="39"/>
      <c r="B381" s="36"/>
      <c r="C381" s="36"/>
      <c r="D381" s="36"/>
      <c r="E381" s="36"/>
      <c r="F381" s="36"/>
      <c r="G381" s="36"/>
      <c r="H381" s="36"/>
      <c r="I381" s="36"/>
      <c r="J381" s="36"/>
      <c r="K381" s="36"/>
      <c r="L381" s="36"/>
    </row>
    <row r="382" spans="1:12" ht="12.75">
      <c r="A382" s="39"/>
      <c r="B382" s="36"/>
      <c r="C382" s="36"/>
      <c r="D382" s="36"/>
      <c r="E382" s="36"/>
      <c r="F382" s="36"/>
      <c r="G382" s="36"/>
      <c r="H382" s="36"/>
      <c r="I382" s="36"/>
      <c r="J382" s="36"/>
      <c r="K382" s="36"/>
      <c r="L382" s="36"/>
    </row>
    <row r="383" spans="1:12" ht="12.75">
      <c r="A383" s="39"/>
      <c r="B383" s="36"/>
      <c r="C383" s="36"/>
      <c r="D383" s="36"/>
      <c r="E383" s="36"/>
      <c r="F383" s="36"/>
      <c r="G383" s="36"/>
      <c r="H383" s="36"/>
      <c r="I383" s="36"/>
      <c r="J383" s="36"/>
      <c r="K383" s="36"/>
      <c r="L383" s="36"/>
    </row>
    <row r="384" spans="1:12" ht="12.75">
      <c r="A384" s="39"/>
      <c r="B384" s="36"/>
      <c r="C384" s="36"/>
      <c r="D384" s="36"/>
      <c r="E384" s="36"/>
      <c r="F384" s="36"/>
      <c r="G384" s="36"/>
      <c r="H384" s="36"/>
      <c r="I384" s="36"/>
      <c r="J384" s="36"/>
      <c r="K384" s="36"/>
      <c r="L384" s="36"/>
    </row>
    <row r="385" spans="1:12" ht="12.75">
      <c r="A385" s="39"/>
      <c r="B385" s="36"/>
      <c r="C385" s="36"/>
      <c r="D385" s="36"/>
      <c r="E385" s="36"/>
      <c r="F385" s="36"/>
      <c r="G385" s="36"/>
      <c r="H385" s="36"/>
      <c r="I385" s="36"/>
      <c r="J385" s="36"/>
      <c r="K385" s="36"/>
      <c r="L385" s="36"/>
    </row>
    <row r="386" spans="1:12" ht="12.75">
      <c r="A386" s="39"/>
      <c r="B386" s="36"/>
      <c r="C386" s="36"/>
      <c r="D386" s="36"/>
      <c r="E386" s="36"/>
      <c r="F386" s="36"/>
      <c r="G386" s="36"/>
      <c r="H386" s="36"/>
      <c r="I386" s="36"/>
      <c r="J386" s="36"/>
      <c r="K386" s="36"/>
      <c r="L386" s="36"/>
    </row>
    <row r="387" spans="1:12" ht="12.75">
      <c r="A387" s="39"/>
      <c r="B387" s="36"/>
      <c r="C387" s="36"/>
      <c r="D387" s="36"/>
      <c r="E387" s="36"/>
      <c r="F387" s="36"/>
      <c r="G387" s="36"/>
      <c r="H387" s="36"/>
      <c r="I387" s="36"/>
      <c r="J387" s="36"/>
      <c r="K387" s="36"/>
      <c r="L387" s="36"/>
    </row>
    <row r="388" spans="1:12" ht="12.75">
      <c r="A388" s="39"/>
      <c r="B388" s="36"/>
      <c r="C388" s="36"/>
      <c r="D388" s="36"/>
      <c r="E388" s="36"/>
      <c r="F388" s="36"/>
      <c r="G388" s="36"/>
      <c r="H388" s="36"/>
      <c r="I388" s="36"/>
      <c r="J388" s="36"/>
      <c r="K388" s="36"/>
      <c r="L388" s="36"/>
    </row>
    <row r="389" spans="1:12" ht="12.75">
      <c r="A389" s="39"/>
      <c r="B389" s="36"/>
      <c r="C389" s="36"/>
      <c r="D389" s="36"/>
      <c r="E389" s="36"/>
      <c r="F389" s="36"/>
      <c r="G389" s="36"/>
      <c r="H389" s="36"/>
      <c r="I389" s="36"/>
      <c r="J389" s="36"/>
      <c r="K389" s="36"/>
      <c r="L389" s="36"/>
    </row>
    <row r="390" spans="1:12" ht="12.75">
      <c r="A390" s="39"/>
      <c r="B390" s="36"/>
      <c r="C390" s="36"/>
      <c r="D390" s="36"/>
      <c r="E390" s="36"/>
      <c r="F390" s="36"/>
      <c r="G390" s="36"/>
      <c r="H390" s="36"/>
      <c r="I390" s="36"/>
      <c r="J390" s="36"/>
      <c r="K390" s="36"/>
      <c r="L390" s="36"/>
    </row>
    <row r="391" spans="1:12" ht="12.75">
      <c r="A391" s="39"/>
      <c r="B391" s="36"/>
      <c r="C391" s="36"/>
      <c r="D391" s="36"/>
      <c r="E391" s="36"/>
      <c r="F391" s="36"/>
      <c r="G391" s="36"/>
      <c r="H391" s="36"/>
      <c r="I391" s="36"/>
      <c r="J391" s="36"/>
      <c r="K391" s="36"/>
      <c r="L391" s="36"/>
    </row>
    <row r="392" spans="1:12" ht="12.75">
      <c r="A392" s="39"/>
      <c r="B392" s="36"/>
      <c r="C392" s="36"/>
      <c r="D392" s="36"/>
      <c r="E392" s="36"/>
      <c r="F392" s="36"/>
      <c r="G392" s="36"/>
      <c r="H392" s="36"/>
      <c r="I392" s="36"/>
      <c r="J392" s="36"/>
      <c r="K392" s="36"/>
      <c r="L392" s="36"/>
    </row>
    <row r="393" spans="1:12" ht="12.75">
      <c r="A393" s="39"/>
      <c r="B393" s="36"/>
      <c r="C393" s="36"/>
      <c r="D393" s="36"/>
      <c r="E393" s="36"/>
      <c r="F393" s="36"/>
      <c r="G393" s="36"/>
      <c r="H393" s="36"/>
      <c r="I393" s="36"/>
      <c r="J393" s="36"/>
      <c r="K393" s="36"/>
      <c r="L393" s="36"/>
    </row>
    <row r="394" spans="1:12" ht="12.75">
      <c r="A394" s="39"/>
      <c r="B394" s="36"/>
      <c r="C394" s="36"/>
      <c r="D394" s="36"/>
      <c r="E394" s="36"/>
      <c r="F394" s="36"/>
      <c r="G394" s="36"/>
      <c r="H394" s="36"/>
      <c r="I394" s="36"/>
      <c r="J394" s="36"/>
      <c r="K394" s="36"/>
      <c r="L394" s="36"/>
    </row>
    <row r="395" spans="1:12" ht="12.75">
      <c r="A395" s="39"/>
      <c r="B395" s="36"/>
      <c r="C395" s="36"/>
      <c r="D395" s="36"/>
      <c r="E395" s="36"/>
      <c r="F395" s="36"/>
      <c r="G395" s="36"/>
      <c r="H395" s="36"/>
      <c r="I395" s="36"/>
      <c r="J395" s="36"/>
      <c r="K395" s="36"/>
      <c r="L395" s="36"/>
    </row>
    <row r="396" spans="1:12" ht="12.75">
      <c r="A396" s="39"/>
      <c r="B396" s="36"/>
      <c r="C396" s="36"/>
      <c r="D396" s="36"/>
      <c r="E396" s="36"/>
      <c r="F396" s="36"/>
      <c r="G396" s="36"/>
      <c r="H396" s="36"/>
      <c r="I396" s="36"/>
      <c r="J396" s="36"/>
      <c r="K396" s="36"/>
      <c r="L396" s="36"/>
    </row>
    <row r="397" spans="1:12" ht="12.75">
      <c r="A397" s="39"/>
      <c r="B397" s="36"/>
      <c r="C397" s="36"/>
      <c r="D397" s="36"/>
      <c r="E397" s="36"/>
      <c r="F397" s="36"/>
      <c r="G397" s="36"/>
      <c r="H397" s="36"/>
      <c r="I397" s="36"/>
      <c r="J397" s="36"/>
      <c r="K397" s="36"/>
      <c r="L397" s="36"/>
    </row>
    <row r="398" spans="1:12" ht="12.75">
      <c r="A398" s="39"/>
      <c r="B398" s="36"/>
      <c r="C398" s="36"/>
      <c r="D398" s="36"/>
      <c r="E398" s="36"/>
      <c r="F398" s="36"/>
      <c r="G398" s="36"/>
      <c r="H398" s="36"/>
      <c r="I398" s="36"/>
      <c r="J398" s="36"/>
      <c r="K398" s="36"/>
      <c r="L398" s="36"/>
    </row>
    <row r="399" spans="1:12" ht="12.75">
      <c r="A399" s="39"/>
      <c r="B399" s="36"/>
      <c r="C399" s="36"/>
      <c r="D399" s="36"/>
      <c r="E399" s="36"/>
      <c r="F399" s="36"/>
      <c r="G399" s="36"/>
      <c r="H399" s="36"/>
      <c r="I399" s="36"/>
      <c r="J399" s="36"/>
      <c r="K399" s="36"/>
      <c r="L399" s="36"/>
    </row>
    <row r="400" spans="1:12" ht="12.75">
      <c r="A400" s="39"/>
      <c r="B400" s="36"/>
      <c r="C400" s="36"/>
      <c r="D400" s="36"/>
      <c r="E400" s="36"/>
      <c r="F400" s="36"/>
      <c r="G400" s="36"/>
      <c r="H400" s="36"/>
      <c r="I400" s="36"/>
      <c r="J400" s="36"/>
      <c r="K400" s="36"/>
      <c r="L400" s="36"/>
    </row>
    <row r="401" spans="1:12" ht="12.75">
      <c r="A401" s="39"/>
      <c r="B401" s="36"/>
      <c r="C401" s="36"/>
      <c r="D401" s="36"/>
      <c r="E401" s="36"/>
      <c r="F401" s="36"/>
      <c r="G401" s="36"/>
      <c r="H401" s="36"/>
      <c r="I401" s="36"/>
      <c r="J401" s="36"/>
      <c r="K401" s="36"/>
      <c r="L401" s="36"/>
    </row>
    <row r="402" spans="1:12" ht="12.75">
      <c r="A402" s="39"/>
      <c r="B402" s="36"/>
      <c r="C402" s="36"/>
      <c r="D402" s="36"/>
      <c r="E402" s="36"/>
      <c r="F402" s="36"/>
      <c r="G402" s="36"/>
      <c r="H402" s="36"/>
      <c r="I402" s="36"/>
      <c r="J402" s="36"/>
      <c r="K402" s="36"/>
      <c r="L402" s="36"/>
    </row>
    <row r="403" spans="1:12" ht="12.75">
      <c r="A403" s="39"/>
      <c r="B403" s="36"/>
      <c r="C403" s="36"/>
      <c r="D403" s="36"/>
      <c r="E403" s="36"/>
      <c r="F403" s="36"/>
      <c r="G403" s="36"/>
      <c r="H403" s="36"/>
      <c r="I403" s="36"/>
      <c r="J403" s="36"/>
      <c r="K403" s="36"/>
      <c r="L403" s="36"/>
    </row>
    <row r="404" spans="1:12" ht="12.75">
      <c r="A404" s="39"/>
      <c r="B404" s="36"/>
      <c r="C404" s="36"/>
      <c r="D404" s="36"/>
      <c r="E404" s="36"/>
      <c r="F404" s="36"/>
      <c r="G404" s="36"/>
      <c r="H404" s="36"/>
      <c r="I404" s="36"/>
      <c r="J404" s="36"/>
      <c r="K404" s="36"/>
      <c r="L404" s="36"/>
    </row>
    <row r="405" spans="1:12" ht="12.75">
      <c r="A405" s="39"/>
      <c r="B405" s="36"/>
      <c r="C405" s="36"/>
      <c r="D405" s="36"/>
      <c r="E405" s="36"/>
      <c r="F405" s="36"/>
      <c r="G405" s="36"/>
      <c r="H405" s="36"/>
      <c r="I405" s="36"/>
      <c r="J405" s="36"/>
      <c r="K405" s="36"/>
      <c r="L405" s="36"/>
    </row>
    <row r="406" spans="1:12" ht="12.75">
      <c r="A406" s="39"/>
      <c r="B406" s="36"/>
      <c r="C406" s="36"/>
      <c r="D406" s="36"/>
      <c r="E406" s="36"/>
      <c r="F406" s="36"/>
      <c r="G406" s="36"/>
      <c r="H406" s="36"/>
      <c r="I406" s="36"/>
      <c r="J406" s="36"/>
      <c r="K406" s="36"/>
      <c r="L406" s="36"/>
    </row>
    <row r="407" spans="1:12" ht="12.75">
      <c r="A407" s="39"/>
      <c r="B407" s="36"/>
      <c r="C407" s="36"/>
      <c r="D407" s="36"/>
      <c r="E407" s="36"/>
      <c r="F407" s="36"/>
      <c r="G407" s="36"/>
      <c r="H407" s="36"/>
      <c r="I407" s="36"/>
      <c r="J407" s="36"/>
      <c r="K407" s="36"/>
      <c r="L407" s="36"/>
    </row>
    <row r="408" spans="1:12" ht="12.75">
      <c r="A408" s="39"/>
      <c r="B408" s="36"/>
      <c r="C408" s="36"/>
      <c r="D408" s="36"/>
      <c r="E408" s="36"/>
      <c r="F408" s="36"/>
      <c r="G408" s="36"/>
      <c r="H408" s="36"/>
      <c r="I408" s="36"/>
      <c r="J408" s="36"/>
      <c r="K408" s="36"/>
      <c r="L408" s="36"/>
    </row>
    <row r="409" spans="1:12" ht="12.75">
      <c r="A409" s="39"/>
      <c r="B409" s="36"/>
      <c r="C409" s="36"/>
      <c r="D409" s="36"/>
      <c r="E409" s="36"/>
      <c r="F409" s="36"/>
      <c r="G409" s="36"/>
      <c r="H409" s="36"/>
      <c r="I409" s="36"/>
      <c r="J409" s="36"/>
      <c r="K409" s="36"/>
      <c r="L409" s="36"/>
    </row>
    <row r="410" spans="1:12" ht="12.75">
      <c r="A410" s="39"/>
      <c r="B410" s="36"/>
      <c r="C410" s="36"/>
      <c r="D410" s="36"/>
      <c r="E410" s="36"/>
      <c r="F410" s="36"/>
      <c r="G410" s="36"/>
      <c r="H410" s="36"/>
      <c r="I410" s="36"/>
      <c r="J410" s="36"/>
      <c r="K410" s="36"/>
      <c r="L410" s="36"/>
    </row>
    <row r="411" spans="1:12" ht="12.75">
      <c r="A411" s="39"/>
      <c r="B411" s="36"/>
      <c r="C411" s="36"/>
      <c r="D411" s="36"/>
      <c r="E411" s="36"/>
      <c r="F411" s="36"/>
      <c r="G411" s="36"/>
      <c r="H411" s="36"/>
      <c r="I411" s="36"/>
      <c r="J411" s="36"/>
      <c r="K411" s="36"/>
      <c r="L411" s="36"/>
    </row>
  </sheetData>
  <sheetProtection/>
  <mergeCells count="32">
    <mergeCell ref="A361:B361"/>
    <mergeCell ref="C361:H361"/>
    <mergeCell ref="I361:L361"/>
    <mergeCell ref="A362:B362"/>
    <mergeCell ref="C362:H362"/>
    <mergeCell ref="I362:L362"/>
    <mergeCell ref="A363:B363"/>
    <mergeCell ref="C363:H363"/>
    <mergeCell ref="I363:L363"/>
    <mergeCell ref="A258:B258"/>
    <mergeCell ref="E271:G271"/>
    <mergeCell ref="I271:K271"/>
    <mergeCell ref="A264:L264"/>
    <mergeCell ref="A265:L265"/>
    <mergeCell ref="A266:L266"/>
    <mergeCell ref="A267:L267"/>
    <mergeCell ref="A268:L268"/>
    <mergeCell ref="A132:L132"/>
    <mergeCell ref="A133:L133"/>
    <mergeCell ref="A134:L134"/>
    <mergeCell ref="A135:L135"/>
    <mergeCell ref="A136:L136"/>
    <mergeCell ref="E139:G139"/>
    <mergeCell ref="I139:K139"/>
    <mergeCell ref="M153:O153"/>
    <mergeCell ref="A4:L4"/>
    <mergeCell ref="A5:L5"/>
    <mergeCell ref="A6:L6"/>
    <mergeCell ref="A7:L7"/>
    <mergeCell ref="A8:L8"/>
    <mergeCell ref="E11:G11"/>
    <mergeCell ref="I11:K11"/>
  </mergeCells>
  <printOptions horizontalCentered="1" verticalCentered="1"/>
  <pageMargins left="0.2362204724409449" right="0.2362204724409449" top="0" bottom="0" header="0" footer="0"/>
  <pageSetup fitToHeight="0" fitToWidth="1" horizontalDpi="600" verticalDpi="600" orientation="portrait" paperSize="9" scale="42" r:id="rId2"/>
  <rowBreaks count="2" manualBreakCount="2">
    <brk id="127" max="11" man="1"/>
    <brk id="259" max="11" man="1"/>
  </rowBreaks>
  <ignoredErrors>
    <ignoredError sqref="F150 H150 J150" formulaRange="1"/>
    <ignoredError sqref="E154:F154 E25:F25 E279:F279 E258 F257 E254:F254 E28:F28 H26:H27 E34:F34 H29:H31 H33 E83:F83 H84 E88:F88 H87 H89:H91 E106:F106 E122:F122 H155 H165 E175:F175 E184:F184 E201:F201 E205:F205 H202 H206 E217:F217 H210:H212 H218 E232:F232 E243:F243 E248:F248 E291:F291 E296:F296 E300:F300 H297 H299 E302:F302 H301 E306:F306 H305 E308:F308 H307 E314:F314 H317 H319 F324 H321 F334 H335 H337 H339 E342:F342 H341 E345:F345 H343 H279:H281 H292:H295 H330:H331 H345:H347 J279 J324 J345 I314:J314 H309:H315 H308:J308 H306:J306 H302:J302 H300:J300 H296:J296 H291:J291 H282 I278:I279 J184 I183:I184 H154:J154 H257:J258 H254:J254 H160:I160 H175:J175 H189:H190 H191:I191 H201:J201 H205:J205 H207:I207 H217:J217 H219:I219 H243:J243 H244:H247 H248:J248 H249:H253 H25:J25 H28:J28 H34:J34 H42:I42 H43:H46 H60:I60 H62:H65 H75:I76 H83:J83 H86:I86 H88:J88 H106:J106 H113:H121 H122:J122 L25:L31 L33:L39 L41:L60 L284:L289 L291:L297 L305:L321 L334:L343 L345:L347 H35:H39 H52:I52 H92:I92 H101:H104 H123:H126 H157:I157 H167:H173 H203:I203 H213:I214 H41 H67:H70 H99 H204 J232 H162:I164 H200:I200 H255:I256 H323:H325 H72:H74 H215:H216 H238:H242 H334 H326 H81:I81 H158:H159 H342 I345 L238:L258 H80 H192:H197 H209:I209 H208 L62:L65 L67:L70 H77:H78 L72:L78 L80:L81 L83:L84 L86:L97 H93:H97 L99:L104 E53 H53:H59 E100 H100:J100 L106:L111 H107:H111 L113:L126 L154:L155 L157:L160 E160 L162:L165 L167:L173 E164 L175:L177 H176:H177 L180:L185 H179:H185 L189:L197 L187 H187:I187 L200:L223 H220:H223 L226:L230 H226:H230 E228 L232:L236 H232:H236 E287 L299:L303 H303 L324:L328 H327:H328 L330:L331 E72 H50:H51 I72 E150 H318 H316 H320 F336 F338 F340 F320 F318 F316 H340 H338 H336 I44:I46 H47:I49 I125 E162 E190 I190 E223 H284:H289 E285 I285:I287 E44:E48 I223:I236 L279:L282 E332:E334 E328:E330 E322:E324 E316 E318 E320 E340 E338 E336 E326 E315 E327 E337 E339 E341 E321 E319 E317 E325 E331 E335 J334 J342 J318 J316 J320 J340 J338 J336 I336 I338 I340 I320 I316 I318 I330 I344 I342 I322:I324 I326 I334 I315 I335 I327:I329 I325 I343 I331:I333 I319 I317 I321 I341 I339 I337" formula="1"/>
    <ignoredError sqref="A283:A297 A15:A20 A21:B21 A32:B32 A33:A78 A79:B79 A80:A104 A105:B105 A106:A111 A112:B112 A113:A126 A156:B156 A157:A165 A166:B166 A167:A173 A174:B174 A175:A185 A186:B186 A238:A257 A187:A223 A224:B224 A225:A230 A231:B231 A232:A236 A237:B237 A298:B298 M298:IV298 A299:A347 A142:A155 A22:A31 A275:A282" numberStoredAsText="1"/>
    <ignoredError sqref="G346 G347 G343 G345 G341 G342 G339 G340 G337 G338 G335 G336 G331 G334 G327 G330 G325 G326 G321 G324 G319 G320 G317 G318 G315 G316 G312 G311 G313:G314 G309 G310 G307 G308 G305 G306 G303 G301 G302 G299 G297 G300 G295 G296 G293 G292 G294 G289 G288 G291 G285:G287 G280 G281 G282 G284 G279 G240 G172 G251 G250 G249 G252 G247 G246 G248 G244 G245 G239 G241:G243 G236 G233 G234:G235 G230 G229 G232 G226 G223 G222 G227:G228 G220 G221 G218 G219 G212 G211 G210 G213:G217 G206 G207:G209 G202 G203:G205 G197 G200:G201 G190 G191:G192 G185 G189 G182 G183:G184 G179 G180:G181 G177 G176 G171 G170 G169 G168 G175 G165 G167 G162 G163:G164 G155 G157:G160 G253 G254:G256 G257 G258 G154 K252 K248 K245 K241:K243 K234:K235 K232 K227:K228 K221 K219 K213:K217 K207:K209 K203:K205 K200:K201 K191:K192 K175 K167 K163:K164 K157:K160 K254:K256 K154 K251 K250 K249 K247 K246 K244 K240 K238 K239 K236 K233 K229 K226 K223 K220 K218 K212 K211 K210 K206 K202 K189 K183:K184 K180:K181 K190 K185 K182 K179 K177 K176 K170 K169 K172 K171 K168 K165 K155 K230 K222 K197 K162 K258 G125 G124 G123 G126 G121 G122 G120 G118 G117 G116 G115 G114 G113 G111 G110 G109 G119 G107 G108 G103 G106 G101 G102 G97 G96 G95 G94 G99:G100 G91 G90 G89 G92:G93 G87 G88 G84 G86 G78 G83 G73 G74:G77 G70 G69 G68 G72 G64 G67 G62 G63 G59 G58 G60 G55 G54 G56:G57 G50 G51:G53 G47:G49 K126 K122 K119 K108 K106 K102 K99:K100 K92:K93 K88 K86 K83 K74:K77 K72 K67 K60 K56:K57 K51:K53 K47:K49 K45 K41:K42 K38 K34:K35 K28 K124 K123 K125 K121 K120 K117 K116 K115 K114 K113 K110 K109 K107 K118 K111 K101 K103 K97 K96 K95 K94 K91 K90 K89 K87 K84 K78 K73 K63 K69 K68 K64 K62 K59 K58 K55 K54 K50 K44 K43 K39 K37 K36 K33 K31 K30 K29 K70 K46 K347 K345 K342 K340 K338 K336 K334 K330 K326 K324 K320 K318 K316 K313:K314 K310 K308 K306 K302 K300 K296 K294 K291 K286:K287 K284 K279 K299 K293 K289 K346 K343 K341 K339 K337 K335 K331 K327 K325 K321 K319 K317 K315 K312 K311 K309 K307 K305 K303 K301 K297 K295 K292 K288 K285 K281 K280 G193:G196 K193:K196 K65 G65 K80:K81 G80:G81 K104 G104 K173 G173 K187 G187 K328 G328 K26 K27 K25 G25 G28 G26 G27 G34:G35 G29 G30 G31 G33 G38 G36 G37 G41:G42 G39 G45 G43 G44 G46 G150 K150 J160 J164 J228 J326 I150" evalError="1" formula="1"/>
    <ignoredError sqref="G274:G278 G151:G153 K151:K153 K253 K257 K274:K278 K282 G290 G322:G323 G344 K344 K14:K20 G14:G20 K22:K23 K21 K24 G22:G23 G21 G40 G32 G24" evalError="1"/>
    <ignoredError sqref="G150 K150" evalError="1" formulaRange="1"/>
    <ignoredError sqref="J160 J164 J228 J326 I150" formula="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Dcpacheco</dc:creator>
  <cp:keywords/>
  <dc:description/>
  <cp:lastModifiedBy>Yago Barros Barbosa</cp:lastModifiedBy>
  <cp:lastPrinted>2020-05-19T20:21:14Z</cp:lastPrinted>
  <dcterms:created xsi:type="dcterms:W3CDTF">2005-03-08T15:13:02Z</dcterms:created>
  <dcterms:modified xsi:type="dcterms:W3CDTF">2020-07-29T14:50:42Z</dcterms:modified>
  <cp:category/>
  <cp:version/>
  <cp:contentType/>
  <cp:contentStatus/>
</cp:coreProperties>
</file>