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65" windowWidth="7680" windowHeight="7770" activeTab="0"/>
  </bookViews>
  <sheets>
    <sheet name="Anexo II - 2º BIM" sheetId="1" r:id="rId1"/>
  </sheets>
  <definedNames>
    <definedName name="_xlnm.Print_Area" localSheetId="0">'Anexo II - 2º BIM'!$A$1:$L$397</definedName>
    <definedName name="HTML_CodePage" hidden="1">1252</definedName>
    <definedName name="HTML_Description" hidden="1">""</definedName>
    <definedName name="HTML_Email" hidden="1">""</definedName>
    <definedName name="HTML_Header" hidden="1">"Tabela"</definedName>
    <definedName name="HTML_LastUpdate" hidden="1">"16/03/98"</definedName>
    <definedName name="HTML_LineAfter" hidden="1">FALSE</definedName>
    <definedName name="HTML_LineBefore" hidden="1">FALSE</definedName>
    <definedName name="HTML_Name" hidden="1">"Rede Integrada"</definedName>
    <definedName name="HTML_OBDlg2" hidden="1">TRUE</definedName>
    <definedName name="HTML_OBDlg4" hidden="1">TRUE</definedName>
    <definedName name="HTML_OS" hidden="1">0</definedName>
    <definedName name="HTML_PathFile" hidden="1">"C:\internetemp\balpep1.htm"</definedName>
    <definedName name="HTML_Title" hidden="1">"Balpep11"</definedName>
  </definedNames>
  <calcPr fullCalcOnLoad="1"/>
</workbook>
</file>

<file path=xl/sharedStrings.xml><?xml version="1.0" encoding="utf-8"?>
<sst xmlns="http://schemas.openxmlformats.org/spreadsheetml/2006/main" count="658" uniqueCount="277">
  <si>
    <t>RELATÓRIO RESUMIDO DA EXECUÇÃO ORÇAMENTÁRIA</t>
  </si>
  <si>
    <t>DEMONSTRATIVO DA EXECUÇÃO DAS DESPESAS POR FUNÇÃO/SUBFUNÇÃO</t>
  </si>
  <si>
    <t>ORÇAMENTOS FISCAL E DA SEGURIDADE SOCIAL</t>
  </si>
  <si>
    <t>DOTAÇÃO</t>
  </si>
  <si>
    <t>DESPESAS EMPENHADAS</t>
  </si>
  <si>
    <t>DESPESAS LIQUIDADAS</t>
  </si>
  <si>
    <t>FUNÇÃO/SUBFUNÇÃO</t>
  </si>
  <si>
    <t>INICIAL</t>
  </si>
  <si>
    <t>ATUALIZADA</t>
  </si>
  <si>
    <t>No Bimestre</t>
  </si>
  <si>
    <t>Até o Bimestre</t>
  </si>
  <si>
    <t>%</t>
  </si>
  <si>
    <t>(a)</t>
  </si>
  <si>
    <t>(b)</t>
  </si>
  <si>
    <t>GOVERNO DO ESTADO DO RIO DE JANEIRO</t>
  </si>
  <si>
    <t>DESPESAS (EXCETO INTRA-ORÇAMENTÁRIAS) (I)</t>
  </si>
  <si>
    <t>DESPESAS (INTRA-ORÇAMENTÁRIAS) (II)</t>
  </si>
  <si>
    <t>(b/total b)</t>
  </si>
  <si>
    <t>SALDO</t>
  </si>
  <si>
    <t>(c) = (a - b)</t>
  </si>
  <si>
    <t>(d)</t>
  </si>
  <si>
    <t>(d/total d)</t>
  </si>
  <si>
    <t>(e) = (a - d)</t>
  </si>
  <si>
    <t>COD</t>
  </si>
  <si>
    <t>Legislativa</t>
  </si>
  <si>
    <t>01</t>
  </si>
  <si>
    <t>031</t>
  </si>
  <si>
    <t>032</t>
  </si>
  <si>
    <t>122</t>
  </si>
  <si>
    <t>128</t>
  </si>
  <si>
    <t>542</t>
  </si>
  <si>
    <t>Ação Legislativa</t>
  </si>
  <si>
    <t>Controle Externo</t>
  </si>
  <si>
    <t>Administração Geral</t>
  </si>
  <si>
    <t>Formação de Recursos Humanos</t>
  </si>
  <si>
    <t>Controle Ambiental</t>
  </si>
  <si>
    <t>02</t>
  </si>
  <si>
    <t>Judiciária</t>
  </si>
  <si>
    <t>061</t>
  </si>
  <si>
    <t>123</t>
  </si>
  <si>
    <t>Ação Judiciária</t>
  </si>
  <si>
    <t>Administração Financeira</t>
  </si>
  <si>
    <t>03</t>
  </si>
  <si>
    <t>Essencial à Justiça</t>
  </si>
  <si>
    <t>091</t>
  </si>
  <si>
    <t>Defesa da Ordem Jurídica</t>
  </si>
  <si>
    <t>04</t>
  </si>
  <si>
    <t>Administração</t>
  </si>
  <si>
    <t>121</t>
  </si>
  <si>
    <t>125</t>
  </si>
  <si>
    <t>126</t>
  </si>
  <si>
    <t>127</t>
  </si>
  <si>
    <t>241</t>
  </si>
  <si>
    <t>422</t>
  </si>
  <si>
    <t>694</t>
  </si>
  <si>
    <t>Planejamento e Orçamento</t>
  </si>
  <si>
    <t>Normatização e Fiscalização</t>
  </si>
  <si>
    <t>Tecnologia da Informação</t>
  </si>
  <si>
    <t>Ordenamento Territorial</t>
  </si>
  <si>
    <t>Assistência ao Idoso</t>
  </si>
  <si>
    <t>Direitos Individuais, Coletivos e Difusos</t>
  </si>
  <si>
    <t>Serviços Financeiros</t>
  </si>
  <si>
    <t>Segurança Pública</t>
  </si>
  <si>
    <t>06</t>
  </si>
  <si>
    <t>181</t>
  </si>
  <si>
    <t>182</t>
  </si>
  <si>
    <t>183</t>
  </si>
  <si>
    <t>302</t>
  </si>
  <si>
    <t>306</t>
  </si>
  <si>
    <t>421</t>
  </si>
  <si>
    <t>781</t>
  </si>
  <si>
    <t>782</t>
  </si>
  <si>
    <t>Policiamento</t>
  </si>
  <si>
    <t>Defesa Civil</t>
  </si>
  <si>
    <t>Informação e Inteligência</t>
  </si>
  <si>
    <t>Assistência Hospitalar e Ambulatorial</t>
  </si>
  <si>
    <t>Alimentação e Nutrição</t>
  </si>
  <si>
    <t>Custódia e Reintegração Social</t>
  </si>
  <si>
    <t>Transporte Aéreo</t>
  </si>
  <si>
    <t>Transporte Rodoviário</t>
  </si>
  <si>
    <t>Assistência Social</t>
  </si>
  <si>
    <t>08</t>
  </si>
  <si>
    <t>243</t>
  </si>
  <si>
    <t>244</t>
  </si>
  <si>
    <t>Assistência à Criança e ao Adolescente</t>
  </si>
  <si>
    <t>Assistência Comunitária</t>
  </si>
  <si>
    <t>Previdência Social</t>
  </si>
  <si>
    <t>09</t>
  </si>
  <si>
    <t>272</t>
  </si>
  <si>
    <t>Previdência do Regime Estatutário</t>
  </si>
  <si>
    <t>10</t>
  </si>
  <si>
    <t>Saúde</t>
  </si>
  <si>
    <t>301</t>
  </si>
  <si>
    <t>303</t>
  </si>
  <si>
    <t>304</t>
  </si>
  <si>
    <t>305</t>
  </si>
  <si>
    <t>571</t>
  </si>
  <si>
    <t>573</t>
  </si>
  <si>
    <t>Atenção Básica</t>
  </si>
  <si>
    <t>Suporte Profilático e Terapêutico</t>
  </si>
  <si>
    <t>Vigilância Sanitária</t>
  </si>
  <si>
    <t>Vigilância Epidemiológica</t>
  </si>
  <si>
    <t>Desenvolvimento Científico</t>
  </si>
  <si>
    <t>Trabalho</t>
  </si>
  <si>
    <t>11</t>
  </si>
  <si>
    <t>333</t>
  </si>
  <si>
    <t>334</t>
  </si>
  <si>
    <t>Empregabilidade</t>
  </si>
  <si>
    <t>Fomento ao Trabalho</t>
  </si>
  <si>
    <t>12</t>
  </si>
  <si>
    <t>Educação</t>
  </si>
  <si>
    <t>361</t>
  </si>
  <si>
    <t>362</t>
  </si>
  <si>
    <t>363</t>
  </si>
  <si>
    <t>364</t>
  </si>
  <si>
    <t>366</t>
  </si>
  <si>
    <t>367</t>
  </si>
  <si>
    <t>392</t>
  </si>
  <si>
    <t>Ensino Fundamental</t>
  </si>
  <si>
    <t>Ensino Médio</t>
  </si>
  <si>
    <t>Ensino Profissional</t>
  </si>
  <si>
    <t>Ensino Superior</t>
  </si>
  <si>
    <t>Educação de Jovens e Adultos</t>
  </si>
  <si>
    <t>Educação Especial</t>
  </si>
  <si>
    <t>Difusão Cultural</t>
  </si>
  <si>
    <t>13</t>
  </si>
  <si>
    <t>Cultura</t>
  </si>
  <si>
    <t>391</t>
  </si>
  <si>
    <t>Patrimônio Histór, Artístico e Arqueológico</t>
  </si>
  <si>
    <t>14</t>
  </si>
  <si>
    <t>Direitos da Cidadania</t>
  </si>
  <si>
    <t>242</t>
  </si>
  <si>
    <t>Assistência ao Portador de Deficiência</t>
  </si>
  <si>
    <t>15</t>
  </si>
  <si>
    <t>Urbanismo</t>
  </si>
  <si>
    <t>451</t>
  </si>
  <si>
    <t>Infraestrutura Urbana</t>
  </si>
  <si>
    <t>Habitação</t>
  </si>
  <si>
    <t>16</t>
  </si>
  <si>
    <t>482</t>
  </si>
  <si>
    <t>Habitação Urbana</t>
  </si>
  <si>
    <t>17</t>
  </si>
  <si>
    <t>Saneamento</t>
  </si>
  <si>
    <t>512</t>
  </si>
  <si>
    <t>Saneamento Básico Urbano</t>
  </si>
  <si>
    <t>543</t>
  </si>
  <si>
    <t>Recuperação de Áreas Degradadas</t>
  </si>
  <si>
    <t>544</t>
  </si>
  <si>
    <t>Recursos Hídricos</t>
  </si>
  <si>
    <t>18</t>
  </si>
  <si>
    <t>Gestão Ambiental</t>
  </si>
  <si>
    <t>453</t>
  </si>
  <si>
    <t>Transportes Coletivos Urbanos</t>
  </si>
  <si>
    <t>541</t>
  </si>
  <si>
    <t>Preservação e Conservação Ambiental</t>
  </si>
  <si>
    <t>601</t>
  </si>
  <si>
    <t>Promoção da Produção Vegetal</t>
  </si>
  <si>
    <t>Continuação</t>
  </si>
  <si>
    <t>19</t>
  </si>
  <si>
    <t>Ciência e Tecnologia</t>
  </si>
  <si>
    <t>572</t>
  </si>
  <si>
    <t>Desenvolvimento Tecnológico e Engenharia</t>
  </si>
  <si>
    <t>20</t>
  </si>
  <si>
    <t>Agricultura</t>
  </si>
  <si>
    <t>131</t>
  </si>
  <si>
    <t>Comunicação Social</t>
  </si>
  <si>
    <t>602</t>
  </si>
  <si>
    <t>Promoção da Produção Animal</t>
  </si>
  <si>
    <t>604</t>
  </si>
  <si>
    <t>Defesa Sanitária Animal</t>
  </si>
  <si>
    <t>605</t>
  </si>
  <si>
    <t>Abastecimento</t>
  </si>
  <si>
    <t>606</t>
  </si>
  <si>
    <t>Extensão Rural</t>
  </si>
  <si>
    <t>Organização Agrária</t>
  </si>
  <si>
    <t>21</t>
  </si>
  <si>
    <t>631</t>
  </si>
  <si>
    <t>Reforma Agrária</t>
  </si>
  <si>
    <t>22</t>
  </si>
  <si>
    <t>Indústria</t>
  </si>
  <si>
    <t>661</t>
  </si>
  <si>
    <t>Promoção Industrial</t>
  </si>
  <si>
    <t>663</t>
  </si>
  <si>
    <t>Mineração</t>
  </si>
  <si>
    <t>665</t>
  </si>
  <si>
    <t>695</t>
  </si>
  <si>
    <t>Turismo</t>
  </si>
  <si>
    <t>751</t>
  </si>
  <si>
    <t>Conservação de Energia</t>
  </si>
  <si>
    <t>23</t>
  </si>
  <si>
    <t>Comércio e Serviços</t>
  </si>
  <si>
    <t>691</t>
  </si>
  <si>
    <t>Promoção Comercial</t>
  </si>
  <si>
    <t>24</t>
  </si>
  <si>
    <t>Comunicações</t>
  </si>
  <si>
    <t>26</t>
  </si>
  <si>
    <t>Transporte</t>
  </si>
  <si>
    <t>783</t>
  </si>
  <si>
    <t>Transporte Ferroviário</t>
  </si>
  <si>
    <t>784</t>
  </si>
  <si>
    <t>Transporte Hidroviário</t>
  </si>
  <si>
    <t>785</t>
  </si>
  <si>
    <t>Transportes Especiais</t>
  </si>
  <si>
    <t>27</t>
  </si>
  <si>
    <t>Desporto e Lazer</t>
  </si>
  <si>
    <t>811</t>
  </si>
  <si>
    <t>Desporto de Rendimento</t>
  </si>
  <si>
    <t>812</t>
  </si>
  <si>
    <t>Desporto Comunitário</t>
  </si>
  <si>
    <t>813</t>
  </si>
  <si>
    <t>Lazer</t>
  </si>
  <si>
    <t>28</t>
  </si>
  <si>
    <t>Encargos Especiais</t>
  </si>
  <si>
    <t>841</t>
  </si>
  <si>
    <t>Refinanciamento da Dívida Interna</t>
  </si>
  <si>
    <t>843</t>
  </si>
  <si>
    <t>Serviço da Dívida Interna</t>
  </si>
  <si>
    <t>844</t>
  </si>
  <si>
    <t>Serviço da Dívida Externa</t>
  </si>
  <si>
    <t>846</t>
  </si>
  <si>
    <t>Outros Encargos Especiais</t>
  </si>
  <si>
    <t>99</t>
  </si>
  <si>
    <t>Reserva de Contingência</t>
  </si>
  <si>
    <t>999</t>
  </si>
  <si>
    <t>Reserva de Contingência do RPPS</t>
  </si>
  <si>
    <t>TOTAL (III) = (I) + (II)</t>
  </si>
  <si>
    <t>Continua (2/3)</t>
  </si>
  <si>
    <t>(3/3)</t>
  </si>
  <si>
    <t>Continua (1/3)</t>
  </si>
  <si>
    <t>092</t>
  </si>
  <si>
    <t>Representação Judicial e Extrajudicial</t>
  </si>
  <si>
    <t>Controle Interno</t>
  </si>
  <si>
    <t>124</t>
  </si>
  <si>
    <t>129</t>
  </si>
  <si>
    <t>Administração de Receitas</t>
  </si>
  <si>
    <t>Administração de Concessões</t>
  </si>
  <si>
    <t>130</t>
  </si>
  <si>
    <t>Difusão do Conhecimento Científico e Tecnológico</t>
  </si>
  <si>
    <t>332</t>
  </si>
  <si>
    <t>Relações de Trabalho</t>
  </si>
  <si>
    <t>RREO - Anexo 2 (LRF, Art 52, inciso II, alínea "c")</t>
  </si>
  <si>
    <t>Difusão do Conhecimento Científ e Tecnológ</t>
  </si>
  <si>
    <t>331</t>
  </si>
  <si>
    <t>Proteção e Benefícios ao Trabalhador</t>
  </si>
  <si>
    <t>692</t>
  </si>
  <si>
    <t>Comercialização</t>
  </si>
  <si>
    <t>997</t>
  </si>
  <si>
    <t>Reserva do Regime Próprio de Previdência do Servidor - RPPS</t>
  </si>
  <si>
    <t xml:space="preserve">     Contador - CRC-RJ-097281/O-6</t>
  </si>
  <si>
    <t xml:space="preserve">Contador - CRC-RJ-079208/O-8 </t>
  </si>
  <si>
    <t>Normalização e Qualidade</t>
  </si>
  <si>
    <t xml:space="preserve"> 302 </t>
  </si>
  <si>
    <t>368</t>
  </si>
  <si>
    <t>Educação Básica</t>
  </si>
  <si>
    <t>752</t>
  </si>
  <si>
    <t>Energia Elétrica</t>
  </si>
  <si>
    <t>Renato Ferreira Costa</t>
  </si>
  <si>
    <t>Coordenador - ID: 4.284.985-3</t>
  </si>
  <si>
    <t>Ronald Marcio G. Rodrigues</t>
  </si>
  <si>
    <t>Superintendente - ID: 1.943.584-3</t>
  </si>
  <si>
    <t>Contadora - CRC-RJ-115174/O-0</t>
  </si>
  <si>
    <t>Subsecretária de Estado - ID: 4.412.059-1</t>
  </si>
  <si>
    <t>Stephanie Guimarães da Silva</t>
  </si>
  <si>
    <t xml:space="preserve">          2 - Imprensa Oficial, CEDAE e AGERIO não constam nos Orçamentos Fiscal e da Seguridade Social no exercício de 2019.</t>
  </si>
  <si>
    <t xml:space="preserve">          3 - Este Demonstrativo não considera a casa dos centavos.</t>
  </si>
  <si>
    <t>FONTE: Siafe-Rio - Secretaria de Estado de Fazenda.</t>
  </si>
  <si>
    <t>Obs.:  1 - Excluídas a Imprensa Oficial, a CEDAE e a AGERIO por não se enquadrarem no conceito de Empresa Dependente.</t>
  </si>
  <si>
    <t>481</t>
  </si>
  <si>
    <t>Habitação Rural</t>
  </si>
  <si>
    <t xml:space="preserve"> Assistência ao Portador de Deficiência</t>
  </si>
  <si>
    <t xml:space="preserve"> Formação de Recursos Humanos</t>
  </si>
  <si>
    <t xml:space="preserve"> Assistência Comunitária</t>
  </si>
  <si>
    <t>FUNÇÃO/SUBFUNÇÃO - INTRA-ORÇAMENTÁRIAS</t>
  </si>
  <si>
    <t>(b/III b)</t>
  </si>
  <si>
    <t>(d/III d)</t>
  </si>
  <si>
    <t>Emissão: 20/05/2019</t>
  </si>
  <si>
    <t>JANEIRO A ABRIL 2019/BIMESTRE MARÇO-ABRIL</t>
  </si>
</sst>
</file>

<file path=xl/styles.xml><?xml version="1.0" encoding="utf-8"?>
<styleSheet xmlns="http://schemas.openxmlformats.org/spreadsheetml/2006/main">
  <numFmts count="21">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 &quot;#,##0_);\(&quot;R$ &quot;#,##0\)"/>
    <numFmt numFmtId="165" formatCode="&quot;R$ &quot;#,##0_);[Red]\(&quot;R$ &quot;#,##0\)"/>
    <numFmt numFmtId="166" formatCode="&quot;R$ &quot;#,##0.00_);\(&quot;R$ &quot;#,##0.00\)"/>
    <numFmt numFmtId="167" formatCode="&quot;R$ &quot;#,##0.00_);[Red]\(&quot;R$ &quot;#,##0.00\)"/>
    <numFmt numFmtId="168" formatCode="_(&quot;R$ &quot;* #,##0_);_(&quot;R$ &quot;* \(#,##0\);_(&quot;R$ &quot;* &quot;-&quot;_);_(@_)"/>
    <numFmt numFmtId="169" formatCode="_(* #,##0_);_(* \(#,##0\);_(* &quot;-&quot;_);_(@_)"/>
    <numFmt numFmtId="170" formatCode="_(&quot;R$ &quot;* #,##0.00_);_(&quot;R$ &quot;* \(#,##0.00\);_(&quot;R$ &quot;* &quot;-&quot;??_);_(@_)"/>
    <numFmt numFmtId="171" formatCode="_(* #,##0.00_);_(* \(#,##0.00\);_(* &quot;-&quot;??_);_(@_)"/>
    <numFmt numFmtId="172" formatCode="#,##0.0_);\(#,##0.0\)"/>
    <numFmt numFmtId="173" formatCode="_(* #,##0.0_);_(* \(#,##0.0\);_(* &quot;-&quot;??_);_(@_)"/>
    <numFmt numFmtId="174" formatCode="_(* #,##0_);_(* \(#,##0\);_(* &quot;-&quot;??_);_(@_)"/>
    <numFmt numFmtId="175" formatCode="_(* #,##0.000_);_(* \(#,##0.000\);_(* &quot;-&quot;??_);_(@_)"/>
    <numFmt numFmtId="176" formatCode="_(* #,##0.0000_);_(* \(#,##0.0000\);_(* &quot;-&quot;??_);_(@_)"/>
  </numFmts>
  <fonts count="45">
    <font>
      <sz val="10"/>
      <name val="Arial"/>
      <family val="0"/>
    </font>
    <font>
      <sz val="8"/>
      <name val="Times New Roman"/>
      <family val="1"/>
    </font>
    <font>
      <sz val="11"/>
      <name val="Times New Roman"/>
      <family val="1"/>
    </font>
    <font>
      <sz val="10"/>
      <name val="Times New Roman"/>
      <family val="1"/>
    </font>
    <font>
      <sz val="12"/>
      <name val="Times New Roman"/>
      <family val="1"/>
    </font>
    <font>
      <b/>
      <sz val="12"/>
      <name val="Times New Roman"/>
      <family val="1"/>
    </font>
    <font>
      <b/>
      <sz val="11"/>
      <name val="Times New Roman"/>
      <family val="1"/>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2"/>
      <color indexed="10"/>
      <name val="Times New Roman"/>
      <family val="1"/>
    </font>
    <font>
      <sz val="10"/>
      <color indexed="10"/>
      <name val="Times New Roman"/>
      <family val="1"/>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2"/>
      <color rgb="FFFF0000"/>
      <name val="Times New Roman"/>
      <family val="1"/>
    </font>
    <font>
      <sz val="10"/>
      <color rgb="FFFF000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style="thin"/>
      <top style="thin"/>
      <bottom>
        <color indexed="63"/>
      </bottom>
    </border>
    <border>
      <left style="thin"/>
      <right style="thin"/>
      <top style="thin"/>
      <bottom>
        <color indexed="63"/>
      </bottom>
    </border>
    <border>
      <left style="thin"/>
      <right>
        <color indexed="63"/>
      </right>
      <top style="thin"/>
      <bottom>
        <color indexed="63"/>
      </botto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color indexed="63"/>
      </left>
      <right style="thin"/>
      <top>
        <color indexed="63"/>
      </top>
      <bottom style="thin"/>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2" fillId="29" borderId="1" applyNumberFormat="0" applyAlignment="0" applyProtection="0"/>
    <xf numFmtId="0" fontId="33" fillId="30"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5" fillId="21" borderId="5" applyNumberFormat="0" applyAlignment="0" applyProtection="0"/>
    <xf numFmtId="169" fontId="0" fillId="0" borderId="0" applyFon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0" borderId="7" applyNumberFormat="0" applyFill="0" applyAlignment="0" applyProtection="0"/>
    <xf numFmtId="0" fontId="41" fillId="0" borderId="8" applyNumberFormat="0" applyFill="0" applyAlignment="0" applyProtection="0"/>
    <xf numFmtId="0" fontId="41" fillId="0" borderId="0" applyNumberFormat="0" applyFill="0" applyBorder="0" applyAlignment="0" applyProtection="0"/>
    <xf numFmtId="0" fontId="42" fillId="0" borderId="9" applyNumberFormat="0" applyFill="0" applyAlignment="0" applyProtection="0"/>
    <xf numFmtId="171" fontId="0" fillId="0" borderId="0" applyFont="0" applyFill="0" applyBorder="0" applyAlignment="0" applyProtection="0"/>
  </cellStyleXfs>
  <cellXfs count="98">
    <xf numFmtId="0" fontId="0" fillId="0" borderId="0" xfId="0" applyAlignment="1">
      <alignment/>
    </xf>
    <xf numFmtId="49" fontId="1" fillId="0" borderId="0" xfId="0" applyNumberFormat="1" applyFont="1" applyFill="1" applyAlignment="1">
      <alignment horizontal="center"/>
    </xf>
    <xf numFmtId="0" fontId="3" fillId="0" borderId="0" xfId="0" applyFont="1" applyFill="1" applyAlignment="1">
      <alignment/>
    </xf>
    <xf numFmtId="0" fontId="3" fillId="0" borderId="0" xfId="0" applyFont="1" applyFill="1" applyBorder="1" applyAlignment="1">
      <alignment/>
    </xf>
    <xf numFmtId="0" fontId="4" fillId="0" borderId="0" xfId="0" applyFont="1" applyFill="1" applyBorder="1" applyAlignment="1">
      <alignment/>
    </xf>
    <xf numFmtId="0" fontId="4" fillId="0" borderId="0" xfId="0" applyFont="1" applyFill="1" applyAlignment="1">
      <alignment/>
    </xf>
    <xf numFmtId="0" fontId="5" fillId="0" borderId="0" xfId="0" applyFont="1" applyFill="1" applyBorder="1" applyAlignment="1">
      <alignment/>
    </xf>
    <xf numFmtId="0" fontId="2" fillId="0" borderId="0" xfId="0" applyFont="1" applyFill="1" applyAlignment="1">
      <alignment/>
    </xf>
    <xf numFmtId="0" fontId="2" fillId="0" borderId="0" xfId="0" applyFont="1" applyFill="1" applyBorder="1" applyAlignment="1">
      <alignment/>
    </xf>
    <xf numFmtId="174" fontId="2" fillId="0" borderId="0" xfId="60" applyNumberFormat="1" applyFont="1" applyFill="1" applyAlignment="1">
      <alignment/>
    </xf>
    <xf numFmtId="174" fontId="2" fillId="0" borderId="0" xfId="0" applyNumberFormat="1" applyFont="1" applyFill="1" applyAlignment="1">
      <alignment/>
    </xf>
    <xf numFmtId="49" fontId="5" fillId="33" borderId="10" xfId="0" applyNumberFormat="1" applyFont="1" applyFill="1" applyBorder="1" applyAlignment="1">
      <alignment horizontal="center"/>
    </xf>
    <xf numFmtId="0" fontId="5" fillId="33" borderId="11" xfId="0" applyFont="1" applyFill="1" applyBorder="1" applyAlignment="1">
      <alignment/>
    </xf>
    <xf numFmtId="0" fontId="5" fillId="33" borderId="11" xfId="0" applyFont="1" applyFill="1" applyBorder="1" applyAlignment="1">
      <alignment horizontal="center" vertical="center"/>
    </xf>
    <xf numFmtId="0" fontId="5" fillId="33" borderId="12" xfId="0" applyFont="1" applyFill="1" applyBorder="1" applyAlignment="1">
      <alignment horizontal="center" vertical="center"/>
    </xf>
    <xf numFmtId="49" fontId="5" fillId="33" borderId="13" xfId="0" applyNumberFormat="1" applyFont="1" applyFill="1" applyBorder="1" applyAlignment="1">
      <alignment horizontal="center" vertical="center"/>
    </xf>
    <xf numFmtId="0" fontId="5" fillId="33" borderId="14" xfId="0" applyFont="1" applyFill="1" applyBorder="1" applyAlignment="1">
      <alignment horizontal="center" vertical="center"/>
    </xf>
    <xf numFmtId="0" fontId="5" fillId="33" borderId="14" xfId="0" applyFont="1" applyFill="1" applyBorder="1" applyAlignment="1">
      <alignment vertical="center"/>
    </xf>
    <xf numFmtId="0" fontId="5" fillId="33" borderId="15" xfId="0" applyFont="1" applyFill="1" applyBorder="1" applyAlignment="1">
      <alignment vertical="center"/>
    </xf>
    <xf numFmtId="49" fontId="5" fillId="33" borderId="16" xfId="0" applyNumberFormat="1" applyFont="1" applyFill="1" applyBorder="1" applyAlignment="1">
      <alignment horizontal="center"/>
    </xf>
    <xf numFmtId="0" fontId="5" fillId="33" borderId="17" xfId="0" applyFont="1" applyFill="1" applyBorder="1" applyAlignment="1">
      <alignment/>
    </xf>
    <xf numFmtId="0" fontId="5" fillId="33" borderId="17" xfId="0" applyFont="1" applyFill="1" applyBorder="1" applyAlignment="1">
      <alignment horizontal="center"/>
    </xf>
    <xf numFmtId="0" fontId="5" fillId="33" borderId="17" xfId="0" applyFont="1" applyFill="1" applyBorder="1" applyAlignment="1">
      <alignment horizontal="center" vertical="center"/>
    </xf>
    <xf numFmtId="0" fontId="5" fillId="33" borderId="18" xfId="0" applyFont="1" applyFill="1" applyBorder="1" applyAlignment="1">
      <alignment horizontal="center" vertical="center"/>
    </xf>
    <xf numFmtId="49" fontId="4" fillId="34" borderId="0" xfId="0" applyNumberFormat="1" applyFont="1" applyFill="1" applyAlignment="1">
      <alignment horizontal="center"/>
    </xf>
    <xf numFmtId="0" fontId="4" fillId="34" borderId="14" xfId="0" applyFont="1" applyFill="1" applyBorder="1" applyAlignment="1">
      <alignment/>
    </xf>
    <xf numFmtId="0" fontId="4" fillId="34" borderId="0" xfId="0" applyFont="1" applyFill="1" applyAlignment="1">
      <alignment horizontal="right"/>
    </xf>
    <xf numFmtId="0" fontId="5" fillId="34" borderId="14" xfId="0" applyFont="1" applyFill="1" applyBorder="1" applyAlignment="1">
      <alignment/>
    </xf>
    <xf numFmtId="49" fontId="43" fillId="34" borderId="0" xfId="0" applyNumberFormat="1" applyFont="1" applyFill="1" applyAlignment="1">
      <alignment horizontal="center"/>
    </xf>
    <xf numFmtId="0" fontId="4" fillId="34" borderId="0" xfId="0" applyFont="1" applyFill="1" applyAlignment="1">
      <alignment/>
    </xf>
    <xf numFmtId="0" fontId="4" fillId="34" borderId="0" xfId="0" applyFont="1" applyFill="1" applyAlignment="1">
      <alignment horizontal="center"/>
    </xf>
    <xf numFmtId="49" fontId="4" fillId="34" borderId="0" xfId="0" applyNumberFormat="1" applyFont="1" applyFill="1" applyAlignment="1">
      <alignment/>
    </xf>
    <xf numFmtId="0" fontId="4" fillId="34" borderId="0" xfId="0" applyFont="1" applyFill="1" applyBorder="1" applyAlignment="1">
      <alignment/>
    </xf>
    <xf numFmtId="172" fontId="4" fillId="34" borderId="0" xfId="0" applyNumberFormat="1" applyFont="1" applyFill="1" applyAlignment="1">
      <alignment/>
    </xf>
    <xf numFmtId="167" fontId="4" fillId="34" borderId="0" xfId="0" applyNumberFormat="1" applyFont="1" applyFill="1" applyAlignment="1">
      <alignment horizontal="right"/>
    </xf>
    <xf numFmtId="49" fontId="5" fillId="34" borderId="0" xfId="0" applyNumberFormat="1" applyFont="1" applyFill="1" applyAlignment="1">
      <alignment horizontal="center"/>
    </xf>
    <xf numFmtId="0" fontId="5" fillId="34" borderId="11" xfId="0" applyFont="1" applyFill="1" applyBorder="1" applyAlignment="1">
      <alignment/>
    </xf>
    <xf numFmtId="174" fontId="5" fillId="34" borderId="14" xfId="60" applyNumberFormat="1" applyFont="1" applyFill="1" applyBorder="1" applyAlignment="1">
      <alignment/>
    </xf>
    <xf numFmtId="174" fontId="5" fillId="34" borderId="14" xfId="60" applyNumberFormat="1" applyFont="1" applyFill="1" applyBorder="1" applyAlignment="1">
      <alignment horizontal="center"/>
    </xf>
    <xf numFmtId="171" fontId="5" fillId="34" borderId="14" xfId="60" applyFont="1" applyFill="1" applyBorder="1" applyAlignment="1">
      <alignment horizontal="center"/>
    </xf>
    <xf numFmtId="174" fontId="5" fillId="34" borderId="15" xfId="60" applyNumberFormat="1" applyFont="1" applyFill="1" applyBorder="1" applyAlignment="1">
      <alignment horizontal="center"/>
    </xf>
    <xf numFmtId="174" fontId="5" fillId="34" borderId="14" xfId="60" applyNumberFormat="1" applyFont="1" applyFill="1" applyBorder="1" applyAlignment="1">
      <alignment/>
    </xf>
    <xf numFmtId="171" fontId="5" fillId="34" borderId="14" xfId="60" applyFont="1" applyFill="1" applyBorder="1" applyAlignment="1">
      <alignment/>
    </xf>
    <xf numFmtId="174" fontId="5" fillId="34" borderId="15" xfId="60" applyNumberFormat="1" applyFont="1" applyFill="1" applyBorder="1" applyAlignment="1">
      <alignment/>
    </xf>
    <xf numFmtId="174" fontId="4" fillId="34" borderId="14" xfId="60" applyNumberFormat="1" applyFont="1" applyFill="1" applyBorder="1" applyAlignment="1">
      <alignment/>
    </xf>
    <xf numFmtId="171" fontId="4" fillId="34" borderId="14" xfId="60" applyFont="1" applyFill="1" applyBorder="1" applyAlignment="1">
      <alignment horizontal="center"/>
    </xf>
    <xf numFmtId="171" fontId="4" fillId="34" borderId="14" xfId="60" applyFont="1" applyFill="1" applyBorder="1" applyAlignment="1">
      <alignment/>
    </xf>
    <xf numFmtId="174" fontId="4" fillId="34" borderId="15" xfId="60" applyNumberFormat="1" applyFont="1" applyFill="1" applyBorder="1" applyAlignment="1">
      <alignment/>
    </xf>
    <xf numFmtId="49" fontId="4" fillId="34" borderId="19" xfId="0" applyNumberFormat="1" applyFont="1" applyFill="1" applyBorder="1" applyAlignment="1">
      <alignment horizontal="center"/>
    </xf>
    <xf numFmtId="0" fontId="4" fillId="34" borderId="17" xfId="0" applyFont="1" applyFill="1" applyBorder="1" applyAlignment="1">
      <alignment/>
    </xf>
    <xf numFmtId="174" fontId="4" fillId="34" borderId="17" xfId="60" applyNumberFormat="1" applyFont="1" applyFill="1" applyBorder="1" applyAlignment="1">
      <alignment/>
    </xf>
    <xf numFmtId="171" fontId="4" fillId="34" borderId="17" xfId="60" applyFont="1" applyFill="1" applyBorder="1" applyAlignment="1">
      <alignment/>
    </xf>
    <xf numFmtId="174" fontId="4" fillId="34" borderId="18" xfId="60" applyNumberFormat="1" applyFont="1" applyFill="1" applyBorder="1" applyAlignment="1">
      <alignment/>
    </xf>
    <xf numFmtId="49" fontId="4" fillId="34" borderId="0" xfId="0" applyNumberFormat="1" applyFont="1" applyFill="1" applyBorder="1" applyAlignment="1">
      <alignment horizontal="center"/>
    </xf>
    <xf numFmtId="174" fontId="4" fillId="34" borderId="0" xfId="60" applyNumberFormat="1" applyFont="1" applyFill="1" applyBorder="1" applyAlignment="1">
      <alignment/>
    </xf>
    <xf numFmtId="171" fontId="4" fillId="34" borderId="0" xfId="60" applyFont="1" applyFill="1" applyBorder="1" applyAlignment="1">
      <alignment/>
    </xf>
    <xf numFmtId="174" fontId="4" fillId="34" borderId="0" xfId="60" applyNumberFormat="1" applyFont="1" applyFill="1" applyBorder="1" applyAlignment="1">
      <alignment horizontal="right"/>
    </xf>
    <xf numFmtId="49" fontId="4" fillId="34" borderId="13" xfId="0" applyNumberFormat="1" applyFont="1" applyFill="1" applyBorder="1" applyAlignment="1">
      <alignment horizontal="center"/>
    </xf>
    <xf numFmtId="0" fontId="4" fillId="34" borderId="13" xfId="0" applyFont="1" applyFill="1" applyBorder="1" applyAlignment="1">
      <alignment/>
    </xf>
    <xf numFmtId="174" fontId="4" fillId="34" borderId="13" xfId="60" applyNumberFormat="1" applyFont="1" applyFill="1" applyBorder="1" applyAlignment="1">
      <alignment/>
    </xf>
    <xf numFmtId="0" fontId="4" fillId="34" borderId="15" xfId="0" applyFont="1" applyFill="1" applyBorder="1" applyAlignment="1">
      <alignment/>
    </xf>
    <xf numFmtId="174" fontId="4" fillId="34" borderId="0" xfId="60" applyNumberFormat="1" applyFont="1" applyFill="1" applyBorder="1" applyAlignment="1" applyProtection="1">
      <alignment/>
      <protection locked="0"/>
    </xf>
    <xf numFmtId="174" fontId="5" fillId="34" borderId="20" xfId="60" applyNumberFormat="1" applyFont="1" applyFill="1" applyBorder="1" applyAlignment="1">
      <alignment/>
    </xf>
    <xf numFmtId="171" fontId="5" fillId="34" borderId="20" xfId="60" applyFont="1" applyFill="1" applyBorder="1" applyAlignment="1">
      <alignment/>
    </xf>
    <xf numFmtId="174" fontId="5" fillId="34" borderId="21" xfId="60" applyNumberFormat="1" applyFont="1" applyFill="1" applyBorder="1" applyAlignment="1">
      <alignment/>
    </xf>
    <xf numFmtId="49" fontId="2" fillId="34" borderId="0" xfId="0" applyNumberFormat="1" applyFont="1" applyFill="1" applyAlignment="1">
      <alignment horizontal="left"/>
    </xf>
    <xf numFmtId="0" fontId="2" fillId="34" borderId="0" xfId="0" applyFont="1" applyFill="1" applyAlignment="1">
      <alignment/>
    </xf>
    <xf numFmtId="0" fontId="3" fillId="34" borderId="0" xfId="0" applyFont="1" applyFill="1" applyAlignment="1">
      <alignment/>
    </xf>
    <xf numFmtId="174" fontId="5" fillId="34" borderId="0" xfId="60" applyNumberFormat="1" applyFont="1" applyFill="1" applyBorder="1" applyAlignment="1">
      <alignment/>
    </xf>
    <xf numFmtId="171" fontId="5" fillId="34" borderId="0" xfId="60" applyFont="1" applyFill="1" applyBorder="1" applyAlignment="1">
      <alignment/>
    </xf>
    <xf numFmtId="49" fontId="5" fillId="34" borderId="0" xfId="0" applyNumberFormat="1" applyFont="1" applyFill="1" applyBorder="1" applyAlignment="1">
      <alignment horizontal="center"/>
    </xf>
    <xf numFmtId="0" fontId="5" fillId="34" borderId="0" xfId="0" applyFont="1" applyFill="1" applyBorder="1" applyAlignment="1">
      <alignment/>
    </xf>
    <xf numFmtId="0" fontId="5" fillId="34" borderId="15" xfId="0" applyFont="1" applyFill="1" applyBorder="1" applyAlignment="1">
      <alignment/>
    </xf>
    <xf numFmtId="49" fontId="5" fillId="34" borderId="13" xfId="0" applyNumberFormat="1" applyFont="1" applyFill="1" applyBorder="1" applyAlignment="1">
      <alignment horizontal="center"/>
    </xf>
    <xf numFmtId="174" fontId="44" fillId="34" borderId="0" xfId="0" applyNumberFormat="1" applyFont="1" applyFill="1" applyAlignment="1">
      <alignment/>
    </xf>
    <xf numFmtId="171" fontId="6" fillId="34" borderId="0" xfId="60" applyFont="1" applyFill="1" applyBorder="1" applyAlignment="1">
      <alignment/>
    </xf>
    <xf numFmtId="0" fontId="2" fillId="34" borderId="0" xfId="0" applyFont="1" applyFill="1" applyAlignment="1">
      <alignment horizontal="right"/>
    </xf>
    <xf numFmtId="174" fontId="3" fillId="34" borderId="0" xfId="0" applyNumberFormat="1" applyFont="1" applyFill="1" applyAlignment="1">
      <alignment/>
    </xf>
    <xf numFmtId="49" fontId="1" fillId="34" borderId="0" xfId="0" applyNumberFormat="1" applyFont="1" applyFill="1" applyAlignment="1">
      <alignment horizontal="center"/>
    </xf>
    <xf numFmtId="49" fontId="2" fillId="34" borderId="0" xfId="0" applyNumberFormat="1" applyFont="1" applyFill="1" applyAlignment="1">
      <alignment horizontal="center"/>
    </xf>
    <xf numFmtId="174" fontId="5" fillId="34" borderId="11" xfId="60" applyNumberFormat="1" applyFont="1" applyFill="1" applyBorder="1" applyAlignment="1">
      <alignment/>
    </xf>
    <xf numFmtId="171" fontId="5" fillId="34" borderId="11" xfId="60" applyFont="1" applyFill="1" applyBorder="1" applyAlignment="1">
      <alignment/>
    </xf>
    <xf numFmtId="49" fontId="5" fillId="34" borderId="19" xfId="0" applyNumberFormat="1" applyFont="1" applyFill="1" applyBorder="1" applyAlignment="1">
      <alignment horizontal="center"/>
    </xf>
    <xf numFmtId="0" fontId="5" fillId="34" borderId="17" xfId="0" applyFont="1" applyFill="1" applyBorder="1" applyAlignment="1">
      <alignment/>
    </xf>
    <xf numFmtId="174" fontId="5" fillId="34" borderId="17" xfId="60" applyNumberFormat="1" applyFont="1" applyFill="1" applyBorder="1" applyAlignment="1">
      <alignment/>
    </xf>
    <xf numFmtId="171" fontId="5" fillId="34" borderId="17" xfId="60" applyFont="1" applyFill="1" applyBorder="1" applyAlignment="1">
      <alignment/>
    </xf>
    <xf numFmtId="174" fontId="5" fillId="34" borderId="18" xfId="60" applyNumberFormat="1" applyFont="1" applyFill="1" applyBorder="1" applyAlignment="1">
      <alignment/>
    </xf>
    <xf numFmtId="49" fontId="2" fillId="34" borderId="0" xfId="0" applyNumberFormat="1" applyFont="1" applyFill="1" applyAlignment="1">
      <alignment horizontal="center"/>
    </xf>
    <xf numFmtId="0" fontId="2" fillId="34" borderId="0" xfId="0" applyFont="1" applyFill="1" applyAlignment="1">
      <alignment horizontal="center"/>
    </xf>
    <xf numFmtId="49" fontId="5" fillId="34" borderId="22" xfId="0" applyNumberFormat="1" applyFont="1" applyFill="1" applyBorder="1" applyAlignment="1">
      <alignment horizontal="left"/>
    </xf>
    <xf numFmtId="49" fontId="5" fillId="34" borderId="23" xfId="0" applyNumberFormat="1" applyFont="1" applyFill="1" applyBorder="1" applyAlignment="1">
      <alignment horizontal="left"/>
    </xf>
    <xf numFmtId="0" fontId="5" fillId="33" borderId="21" xfId="0" applyFont="1" applyFill="1" applyBorder="1" applyAlignment="1">
      <alignment horizontal="center" vertical="center"/>
    </xf>
    <xf numFmtId="0" fontId="5" fillId="33" borderId="22" xfId="0" applyFont="1" applyFill="1" applyBorder="1" applyAlignment="1">
      <alignment horizontal="center" vertical="center"/>
    </xf>
    <xf numFmtId="0" fontId="5" fillId="33" borderId="23" xfId="0" applyFont="1" applyFill="1" applyBorder="1" applyAlignment="1">
      <alignment horizontal="center" vertical="center"/>
    </xf>
    <xf numFmtId="0" fontId="4" fillId="34" borderId="0" xfId="0" applyFont="1" applyFill="1" applyAlignment="1">
      <alignment horizontal="center"/>
    </xf>
    <xf numFmtId="0" fontId="5" fillId="34" borderId="0" xfId="0" applyFont="1" applyFill="1" applyAlignment="1">
      <alignment horizontal="center"/>
    </xf>
    <xf numFmtId="171" fontId="4" fillId="34" borderId="0" xfId="60" applyFont="1" applyFill="1" applyAlignment="1">
      <alignment horizontal="center"/>
    </xf>
    <xf numFmtId="174" fontId="4" fillId="0" borderId="0" xfId="0" applyNumberFormat="1" applyFont="1" applyFill="1" applyBorder="1" applyAlignment="1">
      <alignment/>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0]" xfId="51"/>
    <cellStyle name="Texto de Aviso" xfId="52"/>
    <cellStyle name="Texto Explicativo" xfId="53"/>
    <cellStyle name="Título" xfId="54"/>
    <cellStyle name="Título 1" xfId="55"/>
    <cellStyle name="Título 2" xfId="56"/>
    <cellStyle name="Título 3" xfId="57"/>
    <cellStyle name="Título 4" xfId="58"/>
    <cellStyle name="Total" xfId="59"/>
    <cellStyle name="Comma"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647700</xdr:colOff>
      <xdr:row>0</xdr:row>
      <xdr:rowOff>161925</xdr:rowOff>
    </xdr:from>
    <xdr:to>
      <xdr:col>5</xdr:col>
      <xdr:colOff>38100</xdr:colOff>
      <xdr:row>3</xdr:row>
      <xdr:rowOff>161925</xdr:rowOff>
    </xdr:to>
    <xdr:pic>
      <xdr:nvPicPr>
        <xdr:cNvPr id="1" name="Picture 1"/>
        <xdr:cNvPicPr preferRelativeResize="1">
          <a:picLocks noChangeAspect="1"/>
        </xdr:cNvPicPr>
      </xdr:nvPicPr>
      <xdr:blipFill>
        <a:blip r:embed="rId1"/>
        <a:stretch>
          <a:fillRect/>
        </a:stretch>
      </xdr:blipFill>
      <xdr:spPr>
        <a:xfrm>
          <a:off x="7705725" y="161925"/>
          <a:ext cx="695325" cy="600075"/>
        </a:xfrm>
        <a:prstGeom prst="rect">
          <a:avLst/>
        </a:prstGeom>
        <a:noFill/>
        <a:ln w="9525" cmpd="sng">
          <a:noFill/>
        </a:ln>
      </xdr:spPr>
    </xdr:pic>
    <xdr:clientData/>
  </xdr:twoCellAnchor>
  <xdr:twoCellAnchor editAs="oneCell">
    <xdr:from>
      <xdr:col>4</xdr:col>
      <xdr:colOff>685800</xdr:colOff>
      <xdr:row>129</xdr:row>
      <xdr:rowOff>66675</xdr:rowOff>
    </xdr:from>
    <xdr:to>
      <xdr:col>5</xdr:col>
      <xdr:colOff>76200</xdr:colOff>
      <xdr:row>132</xdr:row>
      <xdr:rowOff>161925</xdr:rowOff>
    </xdr:to>
    <xdr:pic>
      <xdr:nvPicPr>
        <xdr:cNvPr id="2" name="Picture 1"/>
        <xdr:cNvPicPr preferRelativeResize="1">
          <a:picLocks noChangeAspect="1"/>
        </xdr:cNvPicPr>
      </xdr:nvPicPr>
      <xdr:blipFill>
        <a:blip r:embed="rId1"/>
        <a:stretch>
          <a:fillRect/>
        </a:stretch>
      </xdr:blipFill>
      <xdr:spPr>
        <a:xfrm>
          <a:off x="7743825" y="25869900"/>
          <a:ext cx="695325" cy="695325"/>
        </a:xfrm>
        <a:prstGeom prst="rect">
          <a:avLst/>
        </a:prstGeom>
        <a:noFill/>
        <a:ln w="9525" cmpd="sng">
          <a:noFill/>
        </a:ln>
      </xdr:spPr>
    </xdr:pic>
    <xdr:clientData/>
  </xdr:twoCellAnchor>
  <xdr:twoCellAnchor editAs="oneCell">
    <xdr:from>
      <xdr:col>4</xdr:col>
      <xdr:colOff>552450</xdr:colOff>
      <xdr:row>258</xdr:row>
      <xdr:rowOff>104775</xdr:rowOff>
    </xdr:from>
    <xdr:to>
      <xdr:col>4</xdr:col>
      <xdr:colOff>1247775</xdr:colOff>
      <xdr:row>261</xdr:row>
      <xdr:rowOff>133350</xdr:rowOff>
    </xdr:to>
    <xdr:pic>
      <xdr:nvPicPr>
        <xdr:cNvPr id="3" name="Picture 1"/>
        <xdr:cNvPicPr preferRelativeResize="1">
          <a:picLocks noChangeAspect="1"/>
        </xdr:cNvPicPr>
      </xdr:nvPicPr>
      <xdr:blipFill>
        <a:blip r:embed="rId1"/>
        <a:stretch>
          <a:fillRect/>
        </a:stretch>
      </xdr:blipFill>
      <xdr:spPr>
        <a:xfrm>
          <a:off x="7610475" y="51682650"/>
          <a:ext cx="695325" cy="628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O398"/>
  <sheetViews>
    <sheetView tabSelected="1" zoomScale="70" zoomScaleNormal="70" zoomScalePageLayoutView="0" workbookViewId="0" topLeftCell="A1">
      <selection activeCell="A1" sqref="A1"/>
    </sheetView>
  </sheetViews>
  <sheetFormatPr defaultColWidth="9.140625" defaultRowHeight="12.75"/>
  <cols>
    <col min="1" max="1" width="5.8515625" style="1" customWidth="1"/>
    <col min="2" max="2" width="62.28125" style="2" customWidth="1"/>
    <col min="3" max="3" width="19.421875" style="2" customWidth="1"/>
    <col min="4" max="4" width="18.28125" style="2" customWidth="1"/>
    <col min="5" max="5" width="19.57421875" style="2" bestFit="1" customWidth="1"/>
    <col min="6" max="6" width="18.57421875" style="2" customWidth="1"/>
    <col min="7" max="7" width="11.140625" style="2" customWidth="1"/>
    <col min="8" max="8" width="19.140625" style="2" bestFit="1" customWidth="1"/>
    <col min="9" max="9" width="19.140625" style="2" customWidth="1"/>
    <col min="10" max="10" width="18.140625" style="2" bestFit="1" customWidth="1"/>
    <col min="11" max="11" width="10.421875" style="2" customWidth="1"/>
    <col min="12" max="12" width="21.28125" style="2" customWidth="1"/>
    <col min="13" max="13" width="9.140625" style="3" customWidth="1"/>
    <col min="14" max="14" width="9.140625" style="2" customWidth="1"/>
    <col min="15" max="15" width="8.421875" style="2" customWidth="1"/>
    <col min="16" max="16384" width="9.140625" style="2" customWidth="1"/>
  </cols>
  <sheetData>
    <row r="1" spans="1:12" ht="15.75">
      <c r="A1" s="28"/>
      <c r="B1" s="29"/>
      <c r="C1" s="29"/>
      <c r="D1" s="29"/>
      <c r="E1" s="29"/>
      <c r="F1" s="29"/>
      <c r="G1" s="29"/>
      <c r="H1" s="29"/>
      <c r="I1" s="29"/>
      <c r="J1" s="29"/>
      <c r="K1" s="29"/>
      <c r="L1" s="29"/>
    </row>
    <row r="2" spans="1:12" ht="15.75">
      <c r="A2" s="24"/>
      <c r="B2" s="29"/>
      <c r="C2" s="29"/>
      <c r="D2" s="29"/>
      <c r="E2" s="29"/>
      <c r="F2" s="29"/>
      <c r="G2" s="29"/>
      <c r="H2" s="29"/>
      <c r="I2" s="29"/>
      <c r="J2" s="29"/>
      <c r="K2" s="29"/>
      <c r="L2" s="29"/>
    </row>
    <row r="3" spans="1:12" ht="15.75">
      <c r="A3" s="24"/>
      <c r="B3" s="29"/>
      <c r="C3" s="29"/>
      <c r="D3" s="29"/>
      <c r="E3" s="29"/>
      <c r="F3" s="29"/>
      <c r="G3" s="29"/>
      <c r="H3" s="29"/>
      <c r="I3" s="29"/>
      <c r="J3" s="29"/>
      <c r="K3" s="29"/>
      <c r="L3" s="29"/>
    </row>
    <row r="4" spans="1:12" ht="15.75">
      <c r="A4" s="24"/>
      <c r="B4" s="29"/>
      <c r="C4" s="29"/>
      <c r="D4" s="29"/>
      <c r="E4" s="29"/>
      <c r="F4" s="29"/>
      <c r="G4" s="29"/>
      <c r="H4" s="29"/>
      <c r="I4" s="29"/>
      <c r="J4" s="29"/>
      <c r="K4" s="29"/>
      <c r="L4" s="29"/>
    </row>
    <row r="5" spans="1:13" s="5" customFormat="1" ht="15.75">
      <c r="A5" s="94" t="s">
        <v>14</v>
      </c>
      <c r="B5" s="94"/>
      <c r="C5" s="94"/>
      <c r="D5" s="94"/>
      <c r="E5" s="94"/>
      <c r="F5" s="94"/>
      <c r="G5" s="94"/>
      <c r="H5" s="94"/>
      <c r="I5" s="94"/>
      <c r="J5" s="94"/>
      <c r="K5" s="94"/>
      <c r="L5" s="94"/>
      <c r="M5" s="4"/>
    </row>
    <row r="6" spans="1:13" s="5" customFormat="1" ht="15.75">
      <c r="A6" s="94" t="s">
        <v>0</v>
      </c>
      <c r="B6" s="94"/>
      <c r="C6" s="94"/>
      <c r="D6" s="94"/>
      <c r="E6" s="94"/>
      <c r="F6" s="94"/>
      <c r="G6" s="94"/>
      <c r="H6" s="94"/>
      <c r="I6" s="94"/>
      <c r="J6" s="94"/>
      <c r="K6" s="94"/>
      <c r="L6" s="94"/>
      <c r="M6" s="4"/>
    </row>
    <row r="7" spans="1:13" s="5" customFormat="1" ht="15.75">
      <c r="A7" s="95" t="s">
        <v>1</v>
      </c>
      <c r="B7" s="95"/>
      <c r="C7" s="95"/>
      <c r="D7" s="95"/>
      <c r="E7" s="95"/>
      <c r="F7" s="95"/>
      <c r="G7" s="95"/>
      <c r="H7" s="95"/>
      <c r="I7" s="95"/>
      <c r="J7" s="95"/>
      <c r="K7" s="95"/>
      <c r="L7" s="95"/>
      <c r="M7" s="6"/>
    </row>
    <row r="8" spans="1:13" s="5" customFormat="1" ht="15.75">
      <c r="A8" s="94" t="s">
        <v>2</v>
      </c>
      <c r="B8" s="94"/>
      <c r="C8" s="94"/>
      <c r="D8" s="94"/>
      <c r="E8" s="94"/>
      <c r="F8" s="94"/>
      <c r="G8" s="94"/>
      <c r="H8" s="94"/>
      <c r="I8" s="94"/>
      <c r="J8" s="94"/>
      <c r="K8" s="94"/>
      <c r="L8" s="94"/>
      <c r="M8" s="4"/>
    </row>
    <row r="9" spans="1:13" s="5" customFormat="1" ht="15.75">
      <c r="A9" s="94" t="s">
        <v>276</v>
      </c>
      <c r="B9" s="94"/>
      <c r="C9" s="94"/>
      <c r="D9" s="94"/>
      <c r="E9" s="94"/>
      <c r="F9" s="94"/>
      <c r="G9" s="94"/>
      <c r="H9" s="94"/>
      <c r="I9" s="94"/>
      <c r="J9" s="94"/>
      <c r="K9" s="94"/>
      <c r="L9" s="94"/>
      <c r="M9" s="4"/>
    </row>
    <row r="10" spans="1:13" s="5" customFormat="1" ht="15.75">
      <c r="A10" s="30"/>
      <c r="B10" s="30"/>
      <c r="C10" s="30"/>
      <c r="D10" s="30"/>
      <c r="E10" s="30"/>
      <c r="F10" s="30"/>
      <c r="G10" s="30"/>
      <c r="H10" s="30"/>
      <c r="I10" s="30"/>
      <c r="J10" s="30"/>
      <c r="K10" s="30"/>
      <c r="L10" s="30"/>
      <c r="M10" s="97"/>
    </row>
    <row r="11" spans="1:12" ht="15.75">
      <c r="A11" s="24"/>
      <c r="B11" s="24"/>
      <c r="C11" s="96"/>
      <c r="D11" s="96"/>
      <c r="E11" s="96"/>
      <c r="F11" s="96"/>
      <c r="G11" s="96"/>
      <c r="H11" s="96"/>
      <c r="I11" s="96"/>
      <c r="J11" s="96"/>
      <c r="K11" s="24"/>
      <c r="L11" s="26" t="s">
        <v>275</v>
      </c>
    </row>
    <row r="12" spans="1:13" s="7" customFormat="1" ht="15.75">
      <c r="A12" s="31" t="s">
        <v>240</v>
      </c>
      <c r="B12" s="29"/>
      <c r="C12" s="32"/>
      <c r="D12" s="29"/>
      <c r="E12" s="29"/>
      <c r="F12" s="33"/>
      <c r="G12" s="33"/>
      <c r="H12" s="33"/>
      <c r="I12" s="29"/>
      <c r="J12" s="29"/>
      <c r="K12" s="26"/>
      <c r="L12" s="34">
        <v>1</v>
      </c>
      <c r="M12" s="8"/>
    </row>
    <row r="13" spans="1:13" s="7" customFormat="1" ht="15.75">
      <c r="A13" s="11"/>
      <c r="B13" s="12"/>
      <c r="C13" s="13" t="s">
        <v>3</v>
      </c>
      <c r="D13" s="13" t="s">
        <v>3</v>
      </c>
      <c r="E13" s="91" t="s">
        <v>4</v>
      </c>
      <c r="F13" s="92"/>
      <c r="G13" s="93"/>
      <c r="H13" s="13" t="s">
        <v>18</v>
      </c>
      <c r="I13" s="91" t="s">
        <v>5</v>
      </c>
      <c r="J13" s="92"/>
      <c r="K13" s="92"/>
      <c r="L13" s="14" t="s">
        <v>18</v>
      </c>
      <c r="M13" s="8"/>
    </row>
    <row r="14" spans="1:13" s="7" customFormat="1" ht="15.75">
      <c r="A14" s="15" t="s">
        <v>23</v>
      </c>
      <c r="B14" s="16" t="s">
        <v>6</v>
      </c>
      <c r="C14" s="16" t="s">
        <v>7</v>
      </c>
      <c r="D14" s="16" t="s">
        <v>8</v>
      </c>
      <c r="E14" s="16" t="s">
        <v>9</v>
      </c>
      <c r="F14" s="16" t="s">
        <v>10</v>
      </c>
      <c r="G14" s="16" t="s">
        <v>11</v>
      </c>
      <c r="H14" s="17"/>
      <c r="I14" s="16" t="s">
        <v>9</v>
      </c>
      <c r="J14" s="16" t="s">
        <v>10</v>
      </c>
      <c r="K14" s="16" t="s">
        <v>11</v>
      </c>
      <c r="L14" s="18"/>
      <c r="M14" s="8"/>
    </row>
    <row r="15" spans="1:13" s="7" customFormat="1" ht="15.75">
      <c r="A15" s="19"/>
      <c r="B15" s="20"/>
      <c r="C15" s="20"/>
      <c r="D15" s="21" t="s">
        <v>12</v>
      </c>
      <c r="E15" s="21"/>
      <c r="F15" s="21" t="s">
        <v>13</v>
      </c>
      <c r="G15" s="21" t="s">
        <v>17</v>
      </c>
      <c r="H15" s="22" t="s">
        <v>19</v>
      </c>
      <c r="I15" s="21"/>
      <c r="J15" s="21" t="s">
        <v>20</v>
      </c>
      <c r="K15" s="21" t="s">
        <v>21</v>
      </c>
      <c r="L15" s="23" t="s">
        <v>22</v>
      </c>
      <c r="M15" s="8"/>
    </row>
    <row r="16" spans="1:13" s="7" customFormat="1" ht="15.75">
      <c r="A16" s="35"/>
      <c r="B16" s="36" t="s">
        <v>15</v>
      </c>
      <c r="C16" s="37">
        <f>C17+C25+C28+C33+C51+C67+C77+C81+C93+C98+C115+C120+C145+C149+C154+C158+C167+C176+C190+C194+C206+C215+C219+C229+C234+C240</f>
        <v>74866214124</v>
      </c>
      <c r="D16" s="38">
        <f>D17+D25+D28+D33+D51+D67+D77+D81+D93+D98+D115+D120+D145+D149+D154+D158+D167+D176+D190+D194+D206+D215+D219+D229+D234+D240</f>
        <v>74864247612</v>
      </c>
      <c r="E16" s="38">
        <f>E17+E25+E28+E33+E51+E67+E77+E81+E93+E98+E115+E120+E145+E149+E154+E158+E167+E176+E190+E194+E206+E215+E219+E229+E234+E240</f>
        <v>7038000187</v>
      </c>
      <c r="F16" s="38">
        <f>F17+F25+F28+F33+F51+F67+F77+F81+F93+F98+F115+F120+F145+F149+F154+F158+F167+F176+F190+F194+F206+F215+F219+F229+F234+F240</f>
        <v>19275357887</v>
      </c>
      <c r="G16" s="39">
        <f aca="true" t="shared" si="0" ref="G16:G47">(F16/$F$244)*100</f>
        <v>91.28021675986331</v>
      </c>
      <c r="H16" s="38">
        <f>D16-F16</f>
        <v>55588889725</v>
      </c>
      <c r="I16" s="38">
        <f>I17+I25+I28+I33+I51+I67+I77+I81+I93+I98+I115+I120+I145+I149+I154+I158+I167+I176+I190+I194+I206+I215+I219+I229+I234+I240</f>
        <v>7011972750</v>
      </c>
      <c r="J16" s="38">
        <f>J17+J25+J28+J33+J51+J67+J77+J81+J93+J98+J115+J120+J145+J149+J154+J158+J167+J176+J190+J194+J206+J215+J219+J229+J234+J240</f>
        <v>16545947524</v>
      </c>
      <c r="K16" s="39">
        <f aca="true" t="shared" si="1" ref="K16:K47">(J16/$J$244)*100</f>
        <v>90.99136932009809</v>
      </c>
      <c r="L16" s="40">
        <f>D16-J16</f>
        <v>58318300088</v>
      </c>
      <c r="M16" s="8"/>
    </row>
    <row r="17" spans="1:13" s="7" customFormat="1" ht="15.75">
      <c r="A17" s="35" t="s">
        <v>25</v>
      </c>
      <c r="B17" s="27" t="s">
        <v>24</v>
      </c>
      <c r="C17" s="41">
        <f>SUM(C18:C24)</f>
        <v>1807734445</v>
      </c>
      <c r="D17" s="41">
        <f>SUM(D18:D24)</f>
        <v>1807734445</v>
      </c>
      <c r="E17" s="41">
        <f>SUM(E18:E24)</f>
        <v>142886341</v>
      </c>
      <c r="F17" s="41">
        <f>SUM(F18:F24)</f>
        <v>518544416</v>
      </c>
      <c r="G17" s="39">
        <f t="shared" si="0"/>
        <v>2.4556144155445083</v>
      </c>
      <c r="H17" s="41">
        <f>D17-F17</f>
        <v>1289190029</v>
      </c>
      <c r="I17" s="41">
        <f>SUM(I18:I24)</f>
        <v>191797902</v>
      </c>
      <c r="J17" s="41">
        <f>SUM(J18:J24)</f>
        <v>373467356</v>
      </c>
      <c r="K17" s="42">
        <f t="shared" si="1"/>
        <v>2.0538144503060343</v>
      </c>
      <c r="L17" s="43">
        <f>D17-J17</f>
        <v>1434267089</v>
      </c>
      <c r="M17" s="8"/>
    </row>
    <row r="18" spans="1:13" s="7" customFormat="1" ht="15.75">
      <c r="A18" s="24" t="s">
        <v>26</v>
      </c>
      <c r="B18" s="25" t="s">
        <v>31</v>
      </c>
      <c r="C18" s="44">
        <v>92150307</v>
      </c>
      <c r="D18" s="44">
        <v>92150307</v>
      </c>
      <c r="E18" s="44">
        <f>F18-0</f>
        <v>2678244</v>
      </c>
      <c r="F18" s="44">
        <v>2678244</v>
      </c>
      <c r="G18" s="45">
        <f t="shared" si="0"/>
        <v>0.0126830689364623</v>
      </c>
      <c r="H18" s="44">
        <f aca="true" t="shared" si="2" ref="H18:H127">D18-F18</f>
        <v>89472063</v>
      </c>
      <c r="I18" s="44">
        <f>J18-0</f>
        <v>666205</v>
      </c>
      <c r="J18" s="44">
        <v>666205</v>
      </c>
      <c r="K18" s="46">
        <f t="shared" si="1"/>
        <v>0.003663670823926393</v>
      </c>
      <c r="L18" s="47">
        <f aca="true" t="shared" si="3" ref="L18:L127">D18-J18</f>
        <v>91484102</v>
      </c>
      <c r="M18" s="8"/>
    </row>
    <row r="19" spans="1:13" s="7" customFormat="1" ht="15.75">
      <c r="A19" s="24" t="s">
        <v>27</v>
      </c>
      <c r="B19" s="25" t="s">
        <v>32</v>
      </c>
      <c r="C19" s="44">
        <v>4060000</v>
      </c>
      <c r="D19" s="44">
        <v>4060000</v>
      </c>
      <c r="E19" s="44">
        <f>F19-913000</f>
        <v>624380</v>
      </c>
      <c r="F19" s="44">
        <v>1537380</v>
      </c>
      <c r="G19" s="45">
        <f t="shared" si="0"/>
        <v>0.0072804033245433995</v>
      </c>
      <c r="H19" s="44">
        <f t="shared" si="2"/>
        <v>2522620</v>
      </c>
      <c r="I19" s="44">
        <f>J19-135315</f>
        <v>229780</v>
      </c>
      <c r="J19" s="44">
        <v>365095</v>
      </c>
      <c r="K19" s="46">
        <f t="shared" si="1"/>
        <v>0.0020077722314623975</v>
      </c>
      <c r="L19" s="47">
        <f t="shared" si="3"/>
        <v>3694905</v>
      </c>
      <c r="M19" s="8"/>
    </row>
    <row r="20" spans="1:13" s="7" customFormat="1" ht="15.75">
      <c r="A20" s="24" t="s">
        <v>28</v>
      </c>
      <c r="B20" s="25" t="s">
        <v>33</v>
      </c>
      <c r="C20" s="44">
        <v>1682363788</v>
      </c>
      <c r="D20" s="44">
        <v>1682363788</v>
      </c>
      <c r="E20" s="44">
        <f>F20-372513463</f>
        <v>138425768</v>
      </c>
      <c r="F20" s="44">
        <v>510939231</v>
      </c>
      <c r="G20" s="45">
        <f t="shared" si="0"/>
        <v>2.419599367763369</v>
      </c>
      <c r="H20" s="44">
        <f t="shared" si="2"/>
        <v>1171424557</v>
      </c>
      <c r="I20" s="44">
        <f>J20-181488244</f>
        <v>190516108</v>
      </c>
      <c r="J20" s="44">
        <v>372004352</v>
      </c>
      <c r="K20" s="46">
        <f t="shared" si="1"/>
        <v>2.0457689311789076</v>
      </c>
      <c r="L20" s="47">
        <f t="shared" si="3"/>
        <v>1310359436</v>
      </c>
      <c r="M20" s="8"/>
    </row>
    <row r="21" spans="1:13" s="7" customFormat="1" ht="15.75">
      <c r="A21" s="24" t="s">
        <v>50</v>
      </c>
      <c r="B21" s="25" t="s">
        <v>57</v>
      </c>
      <c r="C21" s="44">
        <v>23000000</v>
      </c>
      <c r="D21" s="44">
        <v>23000000</v>
      </c>
      <c r="E21" s="44">
        <f>F21-1750995</f>
        <v>1003364</v>
      </c>
      <c r="F21" s="44">
        <v>2754359</v>
      </c>
      <c r="G21" s="45">
        <f t="shared" si="0"/>
        <v>0.013043518466863128</v>
      </c>
      <c r="H21" s="44">
        <f>D21-F21</f>
        <v>20245641</v>
      </c>
      <c r="I21" s="44">
        <f>J21-4425</f>
        <v>212717</v>
      </c>
      <c r="J21" s="44">
        <v>217142</v>
      </c>
      <c r="K21" s="46">
        <f t="shared" si="1"/>
        <v>0.0011941321515885122</v>
      </c>
      <c r="L21" s="47">
        <f>D21-J21</f>
        <v>22782858</v>
      </c>
      <c r="M21" s="8"/>
    </row>
    <row r="22" spans="1:13" s="7" customFormat="1" ht="15.75">
      <c r="A22" s="24" t="s">
        <v>29</v>
      </c>
      <c r="B22" s="25" t="s">
        <v>34</v>
      </c>
      <c r="C22" s="44">
        <v>5160350</v>
      </c>
      <c r="D22" s="44">
        <v>5160350</v>
      </c>
      <c r="E22" s="44">
        <f>F22-464887</f>
        <v>154585</v>
      </c>
      <c r="F22" s="44">
        <v>619472</v>
      </c>
      <c r="G22" s="45">
        <f t="shared" si="0"/>
        <v>0.0029335662024103015</v>
      </c>
      <c r="H22" s="44">
        <f t="shared" si="2"/>
        <v>4540878</v>
      </c>
      <c r="I22" s="44">
        <f>J22-41470</f>
        <v>172404</v>
      </c>
      <c r="J22" s="44">
        <v>213874</v>
      </c>
      <c r="K22" s="46">
        <f t="shared" si="1"/>
        <v>0.0011761603917659481</v>
      </c>
      <c r="L22" s="47">
        <f t="shared" si="3"/>
        <v>4946476</v>
      </c>
      <c r="M22" s="8"/>
    </row>
    <row r="23" spans="1:13" s="7" customFormat="1" ht="15.75">
      <c r="A23" s="24" t="s">
        <v>53</v>
      </c>
      <c r="B23" s="25" t="s">
        <v>60</v>
      </c>
      <c r="C23" s="44">
        <v>400000</v>
      </c>
      <c r="D23" s="44">
        <v>400000</v>
      </c>
      <c r="E23" s="44">
        <f>F23-0</f>
        <v>0</v>
      </c>
      <c r="F23" s="44">
        <v>0</v>
      </c>
      <c r="G23" s="45">
        <f t="shared" si="0"/>
        <v>0</v>
      </c>
      <c r="H23" s="44">
        <f t="shared" si="2"/>
        <v>400000</v>
      </c>
      <c r="I23" s="44">
        <f>J23</f>
        <v>0</v>
      </c>
      <c r="J23" s="44">
        <v>0</v>
      </c>
      <c r="K23" s="46">
        <f t="shared" si="1"/>
        <v>0</v>
      </c>
      <c r="L23" s="47">
        <f t="shared" si="3"/>
        <v>400000</v>
      </c>
      <c r="M23" s="8"/>
    </row>
    <row r="24" spans="1:13" s="7" customFormat="1" ht="15.75">
      <c r="A24" s="24" t="s">
        <v>30</v>
      </c>
      <c r="B24" s="25" t="s">
        <v>35</v>
      </c>
      <c r="C24" s="44">
        <v>600000</v>
      </c>
      <c r="D24" s="44">
        <v>600000</v>
      </c>
      <c r="E24" s="44">
        <f>F24-15730</f>
        <v>0</v>
      </c>
      <c r="F24" s="44">
        <v>15730</v>
      </c>
      <c r="G24" s="45">
        <f t="shared" si="0"/>
        <v>7.449085085994854E-05</v>
      </c>
      <c r="H24" s="44">
        <f t="shared" si="2"/>
        <v>584270</v>
      </c>
      <c r="I24" s="44">
        <f>J24</f>
        <v>688</v>
      </c>
      <c r="J24" s="44">
        <v>688</v>
      </c>
      <c r="K24" s="46">
        <f t="shared" si="1"/>
        <v>3.7835283836977485E-06</v>
      </c>
      <c r="L24" s="47">
        <f t="shared" si="3"/>
        <v>599312</v>
      </c>
      <c r="M24" s="8"/>
    </row>
    <row r="25" spans="1:13" s="7" customFormat="1" ht="15.75">
      <c r="A25" s="35" t="s">
        <v>36</v>
      </c>
      <c r="B25" s="27" t="s">
        <v>37</v>
      </c>
      <c r="C25" s="41">
        <f>SUM(C26:C27)</f>
        <v>4616538695</v>
      </c>
      <c r="D25" s="41">
        <f>SUM(D26:D27)</f>
        <v>4618038695</v>
      </c>
      <c r="E25" s="41">
        <f>SUM(E26:E27)</f>
        <v>586734915</v>
      </c>
      <c r="F25" s="41">
        <f>SUM(F26:F27)</f>
        <v>1680213379</v>
      </c>
      <c r="G25" s="39">
        <f t="shared" si="0"/>
        <v>7.956803828860724</v>
      </c>
      <c r="H25" s="41">
        <f t="shared" si="2"/>
        <v>2937825316</v>
      </c>
      <c r="I25" s="41">
        <f>SUM(I26:I27)</f>
        <v>627648888</v>
      </c>
      <c r="J25" s="41">
        <f>SUM(J26:J27)</f>
        <v>1158233685</v>
      </c>
      <c r="K25" s="42">
        <f t="shared" si="1"/>
        <v>6.369491311267931</v>
      </c>
      <c r="L25" s="43">
        <f t="shared" si="3"/>
        <v>3459805010</v>
      </c>
      <c r="M25" s="8"/>
    </row>
    <row r="26" spans="1:13" s="7" customFormat="1" ht="15.75">
      <c r="A26" s="24" t="s">
        <v>38</v>
      </c>
      <c r="B26" s="25" t="s">
        <v>40</v>
      </c>
      <c r="C26" s="44">
        <v>1692448000</v>
      </c>
      <c r="D26" s="44">
        <v>1693948000</v>
      </c>
      <c r="E26" s="44">
        <f>F26-693096177</f>
        <v>206143886</v>
      </c>
      <c r="F26" s="44">
        <v>899240063</v>
      </c>
      <c r="G26" s="46">
        <f t="shared" si="0"/>
        <v>4.258433402429989</v>
      </c>
      <c r="H26" s="44">
        <f t="shared" si="2"/>
        <v>794707937</v>
      </c>
      <c r="I26" s="44">
        <f>J26-130204147</f>
        <v>247059473</v>
      </c>
      <c r="J26" s="44">
        <v>377263620</v>
      </c>
      <c r="K26" s="46">
        <f t="shared" si="1"/>
        <v>2.074691300009537</v>
      </c>
      <c r="L26" s="47">
        <f t="shared" si="3"/>
        <v>1316684380</v>
      </c>
      <c r="M26" s="8"/>
    </row>
    <row r="27" spans="1:13" s="7" customFormat="1" ht="15.75">
      <c r="A27" s="24" t="s">
        <v>28</v>
      </c>
      <c r="B27" s="25" t="s">
        <v>33</v>
      </c>
      <c r="C27" s="44">
        <v>2924090695</v>
      </c>
      <c r="D27" s="44">
        <v>2924090695</v>
      </c>
      <c r="E27" s="44">
        <f>F27-400382287</f>
        <v>380591029</v>
      </c>
      <c r="F27" s="44">
        <v>780973316</v>
      </c>
      <c r="G27" s="46">
        <f t="shared" si="0"/>
        <v>3.6983704264307344</v>
      </c>
      <c r="H27" s="44">
        <f t="shared" si="2"/>
        <v>2143117379</v>
      </c>
      <c r="I27" s="44">
        <f>J27-400380650</f>
        <v>380589415</v>
      </c>
      <c r="J27" s="44">
        <v>780970065</v>
      </c>
      <c r="K27" s="46">
        <f t="shared" si="1"/>
        <v>4.294800011258395</v>
      </c>
      <c r="L27" s="47">
        <f t="shared" si="3"/>
        <v>2143120630</v>
      </c>
      <c r="M27" s="8"/>
    </row>
    <row r="28" spans="1:13" s="7" customFormat="1" ht="15.75">
      <c r="A28" s="35" t="s">
        <v>42</v>
      </c>
      <c r="B28" s="27" t="s">
        <v>43</v>
      </c>
      <c r="C28" s="41">
        <f>SUM(C29:C32)</f>
        <v>2584604150</v>
      </c>
      <c r="D28" s="41">
        <f>SUM(D29:D32)</f>
        <v>2584604150</v>
      </c>
      <c r="E28" s="41">
        <f>SUM(E29:E32)</f>
        <v>162181219</v>
      </c>
      <c r="F28" s="41">
        <f>SUM(F29:F32)</f>
        <v>1700022828</v>
      </c>
      <c r="G28" s="42">
        <f t="shared" si="0"/>
        <v>8.050613282838903</v>
      </c>
      <c r="H28" s="41">
        <f t="shared" si="2"/>
        <v>884581322</v>
      </c>
      <c r="I28" s="41">
        <f>SUM(I29:I32)</f>
        <v>356793061</v>
      </c>
      <c r="J28" s="41">
        <f>SUM(J29:J32)</f>
        <v>678799220</v>
      </c>
      <c r="K28" s="42">
        <f t="shared" si="1"/>
        <v>3.732930400729495</v>
      </c>
      <c r="L28" s="43">
        <f t="shared" si="3"/>
        <v>1905804930</v>
      </c>
      <c r="M28" s="8"/>
    </row>
    <row r="29" spans="1:13" s="7" customFormat="1" ht="15.75">
      <c r="A29" s="24" t="s">
        <v>44</v>
      </c>
      <c r="B29" s="25" t="s">
        <v>45</v>
      </c>
      <c r="C29" s="44">
        <v>70376800</v>
      </c>
      <c r="D29" s="44">
        <v>70376800</v>
      </c>
      <c r="E29" s="44">
        <f>F29-18557178</f>
        <v>4197485</v>
      </c>
      <c r="F29" s="44">
        <v>22754663</v>
      </c>
      <c r="G29" s="46">
        <f t="shared" si="0"/>
        <v>0.10775678371909658</v>
      </c>
      <c r="H29" s="44">
        <f t="shared" si="2"/>
        <v>47622137</v>
      </c>
      <c r="I29" s="44">
        <f>J29-1387984</f>
        <v>3296936</v>
      </c>
      <c r="J29" s="44">
        <v>4684920</v>
      </c>
      <c r="K29" s="46">
        <f t="shared" si="1"/>
        <v>0.025763848539757637</v>
      </c>
      <c r="L29" s="47">
        <f t="shared" si="3"/>
        <v>65691880</v>
      </c>
      <c r="M29" s="8"/>
    </row>
    <row r="30" spans="1:13" s="7" customFormat="1" ht="15.75">
      <c r="A30" s="24" t="s">
        <v>229</v>
      </c>
      <c r="B30" s="25" t="s">
        <v>230</v>
      </c>
      <c r="C30" s="44">
        <v>46821005</v>
      </c>
      <c r="D30" s="44">
        <v>46821005</v>
      </c>
      <c r="E30" s="44">
        <f>F30-12053824</f>
        <v>931270</v>
      </c>
      <c r="F30" s="44">
        <v>12985094</v>
      </c>
      <c r="G30" s="46">
        <f t="shared" si="0"/>
        <v>0.061492097937470604</v>
      </c>
      <c r="H30" s="44">
        <f>D30-F30</f>
        <v>33835911</v>
      </c>
      <c r="I30" s="44">
        <f>J30-652201</f>
        <v>4395354</v>
      </c>
      <c r="J30" s="44">
        <v>5047555</v>
      </c>
      <c r="K30" s="46">
        <f t="shared" si="1"/>
        <v>0.02775809245752251</v>
      </c>
      <c r="L30" s="47">
        <f>D30-J30</f>
        <v>41773450</v>
      </c>
      <c r="M30" s="8"/>
    </row>
    <row r="31" spans="1:13" s="7" customFormat="1" ht="15.75">
      <c r="A31" s="24" t="s">
        <v>28</v>
      </c>
      <c r="B31" s="25" t="s">
        <v>33</v>
      </c>
      <c r="C31" s="44">
        <v>2425369628</v>
      </c>
      <c r="D31" s="44">
        <v>2425369628</v>
      </c>
      <c r="E31" s="44">
        <f>F31-1500638633</f>
        <v>144315724</v>
      </c>
      <c r="F31" s="44">
        <v>1644954357</v>
      </c>
      <c r="G31" s="46">
        <f t="shared" si="0"/>
        <v>7.789831511678928</v>
      </c>
      <c r="H31" s="44">
        <f t="shared" si="2"/>
        <v>780415271</v>
      </c>
      <c r="I31" s="44">
        <f>J31-313468506</f>
        <v>336363661</v>
      </c>
      <c r="J31" s="44">
        <v>649832167</v>
      </c>
      <c r="K31" s="46">
        <f t="shared" si="1"/>
        <v>3.5736314658202253</v>
      </c>
      <c r="L31" s="47">
        <f>D31-J31</f>
        <v>1775537461</v>
      </c>
      <c r="M31" s="8"/>
    </row>
    <row r="32" spans="1:13" s="7" customFormat="1" ht="15.75">
      <c r="A32" s="24" t="s">
        <v>29</v>
      </c>
      <c r="B32" s="25" t="s">
        <v>34</v>
      </c>
      <c r="C32" s="44">
        <v>42036717</v>
      </c>
      <c r="D32" s="44">
        <v>42036717</v>
      </c>
      <c r="E32" s="44">
        <f>F32-6591974</f>
        <v>12736740</v>
      </c>
      <c r="F32" s="44">
        <v>19328714</v>
      </c>
      <c r="G32" s="46">
        <f t="shared" si="0"/>
        <v>0.09153288950340746</v>
      </c>
      <c r="H32" s="44">
        <f t="shared" si="2"/>
        <v>22708003</v>
      </c>
      <c r="I32" s="44">
        <f>J32-6497468</f>
        <v>12737110</v>
      </c>
      <c r="J32" s="44">
        <v>19234578</v>
      </c>
      <c r="K32" s="46">
        <f t="shared" si="1"/>
        <v>0.10577699391198876</v>
      </c>
      <c r="L32" s="47">
        <f t="shared" si="3"/>
        <v>22802139</v>
      </c>
      <c r="M32" s="8"/>
    </row>
    <row r="33" spans="1:13" s="7" customFormat="1" ht="15.75">
      <c r="A33" s="35" t="s">
        <v>46</v>
      </c>
      <c r="B33" s="27" t="s">
        <v>47</v>
      </c>
      <c r="C33" s="41">
        <f>SUM(C34:C50)</f>
        <v>7328124144</v>
      </c>
      <c r="D33" s="41">
        <f>SUM(D34:D50)</f>
        <v>7317438134</v>
      </c>
      <c r="E33" s="41">
        <f>SUM(E34:E50)</f>
        <v>339415795</v>
      </c>
      <c r="F33" s="41">
        <f>SUM(F34:F50)</f>
        <v>681240566</v>
      </c>
      <c r="G33" s="42">
        <f t="shared" si="0"/>
        <v>3.22607688503833</v>
      </c>
      <c r="H33" s="41">
        <f t="shared" si="2"/>
        <v>6636197568</v>
      </c>
      <c r="I33" s="41">
        <f>SUM(I34:I50)</f>
        <v>327216235</v>
      </c>
      <c r="J33" s="41">
        <f>SUM(J34:J50)</f>
        <v>625949060</v>
      </c>
      <c r="K33" s="42">
        <f t="shared" si="1"/>
        <v>3.4422907489228565</v>
      </c>
      <c r="L33" s="43">
        <f t="shared" si="3"/>
        <v>6691489074</v>
      </c>
      <c r="M33" s="8"/>
    </row>
    <row r="34" spans="1:13" s="7" customFormat="1" ht="15.75">
      <c r="A34" s="24" t="s">
        <v>48</v>
      </c>
      <c r="B34" s="25" t="s">
        <v>55</v>
      </c>
      <c r="C34" s="44">
        <v>200340000</v>
      </c>
      <c r="D34" s="44">
        <v>200340000</v>
      </c>
      <c r="E34" s="44">
        <f>F34-0</f>
        <v>0</v>
      </c>
      <c r="F34" s="44">
        <v>0</v>
      </c>
      <c r="G34" s="46">
        <f t="shared" si="0"/>
        <v>0</v>
      </c>
      <c r="H34" s="44">
        <f t="shared" si="2"/>
        <v>200340000</v>
      </c>
      <c r="I34" s="44">
        <f aca="true" t="shared" si="4" ref="I34:I50">J34-0</f>
        <v>0</v>
      </c>
      <c r="J34" s="44">
        <v>0</v>
      </c>
      <c r="K34" s="46">
        <f t="shared" si="1"/>
        <v>0</v>
      </c>
      <c r="L34" s="47">
        <f t="shared" si="3"/>
        <v>200340000</v>
      </c>
      <c r="M34" s="8"/>
    </row>
    <row r="35" spans="1:13" s="7" customFormat="1" ht="15.75">
      <c r="A35" s="24" t="s">
        <v>28</v>
      </c>
      <c r="B35" s="25" t="s">
        <v>33</v>
      </c>
      <c r="C35" s="44">
        <v>6028797095</v>
      </c>
      <c r="D35" s="44">
        <v>6019507825</v>
      </c>
      <c r="E35" s="44">
        <f>F35-183903558</f>
        <v>181714120</v>
      </c>
      <c r="F35" s="44">
        <v>365617678</v>
      </c>
      <c r="G35" s="46">
        <f t="shared" si="0"/>
        <v>1.731415888344481</v>
      </c>
      <c r="H35" s="44">
        <f t="shared" si="2"/>
        <v>5653890147</v>
      </c>
      <c r="I35" s="44">
        <f>J35-148258175</f>
        <v>175864214</v>
      </c>
      <c r="J35" s="44">
        <v>324122389</v>
      </c>
      <c r="K35" s="46">
        <f t="shared" si="1"/>
        <v>1.782450957228812</v>
      </c>
      <c r="L35" s="47">
        <f t="shared" si="3"/>
        <v>5695385436</v>
      </c>
      <c r="M35" s="8"/>
    </row>
    <row r="36" spans="1:13" s="7" customFormat="1" ht="15.75">
      <c r="A36" s="24" t="s">
        <v>39</v>
      </c>
      <c r="B36" s="25" t="s">
        <v>41</v>
      </c>
      <c r="C36" s="44">
        <v>133970894</v>
      </c>
      <c r="D36" s="44">
        <v>133967059</v>
      </c>
      <c r="E36" s="44">
        <f>F36-7457602</f>
        <v>8102843</v>
      </c>
      <c r="F36" s="44">
        <v>15560445</v>
      </c>
      <c r="G36" s="46">
        <f t="shared" si="0"/>
        <v>0.07368790768019275</v>
      </c>
      <c r="H36" s="44">
        <f t="shared" si="2"/>
        <v>118406614</v>
      </c>
      <c r="I36" s="44">
        <f>J36-1092288</f>
        <v>2232776</v>
      </c>
      <c r="J36" s="44">
        <v>3325064</v>
      </c>
      <c r="K36" s="46">
        <f t="shared" si="1"/>
        <v>0.018285572705830772</v>
      </c>
      <c r="L36" s="47">
        <f t="shared" si="3"/>
        <v>130641995</v>
      </c>
      <c r="M36" s="8"/>
    </row>
    <row r="37" spans="1:13" s="7" customFormat="1" ht="15.75">
      <c r="A37" s="24" t="s">
        <v>232</v>
      </c>
      <c r="B37" s="25" t="s">
        <v>231</v>
      </c>
      <c r="C37" s="44">
        <v>240000</v>
      </c>
      <c r="D37" s="44">
        <v>240000</v>
      </c>
      <c r="E37" s="44">
        <f>F37-0</f>
        <v>0</v>
      </c>
      <c r="F37" s="44">
        <v>0</v>
      </c>
      <c r="G37" s="46">
        <f t="shared" si="0"/>
        <v>0</v>
      </c>
      <c r="H37" s="44">
        <f t="shared" si="2"/>
        <v>240000</v>
      </c>
      <c r="I37" s="44">
        <f t="shared" si="4"/>
        <v>0</v>
      </c>
      <c r="J37" s="44">
        <v>0</v>
      </c>
      <c r="K37" s="46">
        <f t="shared" si="1"/>
        <v>0</v>
      </c>
      <c r="L37" s="47">
        <f t="shared" si="3"/>
        <v>240000</v>
      </c>
      <c r="M37" s="8"/>
    </row>
    <row r="38" spans="1:13" s="7" customFormat="1" ht="15.75">
      <c r="A38" s="24" t="s">
        <v>49</v>
      </c>
      <c r="B38" s="25" t="s">
        <v>56</v>
      </c>
      <c r="C38" s="44">
        <v>11310175</v>
      </c>
      <c r="D38" s="44">
        <v>11310175</v>
      </c>
      <c r="E38" s="44">
        <f>F38-251525</f>
        <v>180554</v>
      </c>
      <c r="F38" s="44">
        <v>432079</v>
      </c>
      <c r="G38" s="46">
        <f t="shared" si="0"/>
        <v>0.002046149545372899</v>
      </c>
      <c r="H38" s="44">
        <f t="shared" si="2"/>
        <v>10878096</v>
      </c>
      <c r="I38" s="44">
        <f>J38-53217</f>
        <v>157438</v>
      </c>
      <c r="J38" s="44">
        <v>210655</v>
      </c>
      <c r="K38" s="46">
        <f t="shared" si="1"/>
        <v>0.001158458098354432</v>
      </c>
      <c r="L38" s="47">
        <f t="shared" si="3"/>
        <v>11099520</v>
      </c>
      <c r="M38" s="8"/>
    </row>
    <row r="39" spans="1:13" s="7" customFormat="1" ht="15.75">
      <c r="A39" s="24" t="s">
        <v>51</v>
      </c>
      <c r="B39" s="25" t="s">
        <v>58</v>
      </c>
      <c r="C39" s="44">
        <v>125000</v>
      </c>
      <c r="D39" s="44">
        <v>132500</v>
      </c>
      <c r="E39" s="44">
        <f>F39-0</f>
        <v>4549</v>
      </c>
      <c r="F39" s="44">
        <v>4549</v>
      </c>
      <c r="G39" s="46">
        <f t="shared" si="0"/>
        <v>2.154220474010845E-05</v>
      </c>
      <c r="H39" s="44">
        <f t="shared" si="2"/>
        <v>127951</v>
      </c>
      <c r="I39" s="44">
        <f t="shared" si="4"/>
        <v>4549</v>
      </c>
      <c r="J39" s="44">
        <v>4549</v>
      </c>
      <c r="K39" s="46">
        <f t="shared" si="1"/>
        <v>2.5016381711396885E-05</v>
      </c>
      <c r="L39" s="47">
        <f t="shared" si="3"/>
        <v>127951</v>
      </c>
      <c r="M39" s="8"/>
    </row>
    <row r="40" spans="1:13" s="7" customFormat="1" ht="15.75">
      <c r="A40" s="24" t="s">
        <v>29</v>
      </c>
      <c r="B40" s="25" t="s">
        <v>34</v>
      </c>
      <c r="C40" s="44">
        <v>130000</v>
      </c>
      <c r="D40" s="44">
        <v>130000</v>
      </c>
      <c r="E40" s="44">
        <f>F40-0</f>
        <v>0</v>
      </c>
      <c r="F40" s="44">
        <v>0</v>
      </c>
      <c r="G40" s="46">
        <f t="shared" si="0"/>
        <v>0</v>
      </c>
      <c r="H40" s="44">
        <f t="shared" si="2"/>
        <v>130000</v>
      </c>
      <c r="I40" s="44">
        <f t="shared" si="4"/>
        <v>0</v>
      </c>
      <c r="J40" s="44">
        <v>0</v>
      </c>
      <c r="K40" s="46">
        <f t="shared" si="1"/>
        <v>0</v>
      </c>
      <c r="L40" s="47">
        <f t="shared" si="3"/>
        <v>130000</v>
      </c>
      <c r="M40" s="8"/>
    </row>
    <row r="41" spans="1:13" s="7" customFormat="1" ht="15.75">
      <c r="A41" s="24" t="s">
        <v>233</v>
      </c>
      <c r="B41" s="25" t="s">
        <v>234</v>
      </c>
      <c r="C41" s="44">
        <v>2800000</v>
      </c>
      <c r="D41" s="44">
        <v>1400000</v>
      </c>
      <c r="E41" s="44">
        <f>F41-325733</f>
        <v>376066</v>
      </c>
      <c r="F41" s="44">
        <v>701799</v>
      </c>
      <c r="G41" s="46">
        <f t="shared" si="0"/>
        <v>0.003323433225852576</v>
      </c>
      <c r="H41" s="44">
        <f t="shared" si="2"/>
        <v>698201</v>
      </c>
      <c r="I41" s="44">
        <f>J41-131994</f>
        <v>242788</v>
      </c>
      <c r="J41" s="44">
        <v>374782</v>
      </c>
      <c r="K41" s="46">
        <f t="shared" si="1"/>
        <v>0.002061044091132281</v>
      </c>
      <c r="L41" s="47">
        <f t="shared" si="3"/>
        <v>1025218</v>
      </c>
      <c r="M41" s="8"/>
    </row>
    <row r="42" spans="1:13" s="7" customFormat="1" ht="15.75">
      <c r="A42" s="24" t="s">
        <v>236</v>
      </c>
      <c r="B42" s="25" t="s">
        <v>235</v>
      </c>
      <c r="C42" s="44">
        <v>4667668</v>
      </c>
      <c r="D42" s="44">
        <v>4667668</v>
      </c>
      <c r="E42" s="44">
        <f>F42-251833</f>
        <v>504867</v>
      </c>
      <c r="F42" s="44">
        <v>756700</v>
      </c>
      <c r="G42" s="46">
        <f t="shared" si="0"/>
        <v>0.003583421922805026</v>
      </c>
      <c r="H42" s="44">
        <f t="shared" si="2"/>
        <v>3910968</v>
      </c>
      <c r="I42" s="44">
        <f>J42-115741</f>
        <v>238375</v>
      </c>
      <c r="J42" s="44">
        <v>354116</v>
      </c>
      <c r="K42" s="46">
        <f t="shared" si="1"/>
        <v>0.001947395257444058</v>
      </c>
      <c r="L42" s="47">
        <f t="shared" si="3"/>
        <v>4313552</v>
      </c>
      <c r="M42" s="8"/>
    </row>
    <row r="43" spans="1:13" s="7" customFormat="1" ht="15.75">
      <c r="A43" s="24" t="s">
        <v>66</v>
      </c>
      <c r="B43" s="25" t="s">
        <v>74</v>
      </c>
      <c r="C43" s="44">
        <v>60000</v>
      </c>
      <c r="D43" s="44">
        <v>60000</v>
      </c>
      <c r="E43" s="44">
        <f>F43-0</f>
        <v>0</v>
      </c>
      <c r="F43" s="44">
        <v>0</v>
      </c>
      <c r="G43" s="46">
        <f t="shared" si="0"/>
        <v>0</v>
      </c>
      <c r="H43" s="44">
        <f t="shared" si="2"/>
        <v>60000</v>
      </c>
      <c r="I43" s="44">
        <f t="shared" si="4"/>
        <v>0</v>
      </c>
      <c r="J43" s="44">
        <v>0</v>
      </c>
      <c r="K43" s="46">
        <f t="shared" si="1"/>
        <v>0</v>
      </c>
      <c r="L43" s="47">
        <f t="shared" si="3"/>
        <v>60000</v>
      </c>
      <c r="M43" s="8"/>
    </row>
    <row r="44" spans="1:13" s="7" customFormat="1" ht="15.75">
      <c r="A44" s="24" t="s">
        <v>53</v>
      </c>
      <c r="B44" s="25" t="s">
        <v>60</v>
      </c>
      <c r="C44" s="44">
        <v>11617436</v>
      </c>
      <c r="D44" s="44">
        <v>11617031</v>
      </c>
      <c r="E44" s="44">
        <f>F44-553110</f>
        <v>582143</v>
      </c>
      <c r="F44" s="44">
        <v>1135253</v>
      </c>
      <c r="G44" s="46">
        <f t="shared" si="0"/>
        <v>0.005376094209237708</v>
      </c>
      <c r="H44" s="44">
        <f t="shared" si="2"/>
        <v>10481778</v>
      </c>
      <c r="I44" s="44">
        <f t="shared" si="4"/>
        <v>525442</v>
      </c>
      <c r="J44" s="44">
        <v>525442</v>
      </c>
      <c r="K44" s="46">
        <f t="shared" si="1"/>
        <v>0.002889570815387954</v>
      </c>
      <c r="L44" s="47">
        <f t="shared" si="3"/>
        <v>11091589</v>
      </c>
      <c r="M44" s="8"/>
    </row>
    <row r="45" spans="1:13" s="7" customFormat="1" ht="15.75">
      <c r="A45" s="24" t="s">
        <v>135</v>
      </c>
      <c r="B45" s="25" t="s">
        <v>136</v>
      </c>
      <c r="C45" s="44">
        <v>6000</v>
      </c>
      <c r="D45" s="44">
        <v>6000</v>
      </c>
      <c r="E45" s="44">
        <f>F45-0</f>
        <v>0</v>
      </c>
      <c r="F45" s="44">
        <v>0</v>
      </c>
      <c r="G45" s="46">
        <f t="shared" si="0"/>
        <v>0</v>
      </c>
      <c r="H45" s="44">
        <f t="shared" si="2"/>
        <v>6000</v>
      </c>
      <c r="I45" s="44">
        <f t="shared" si="4"/>
        <v>0</v>
      </c>
      <c r="J45" s="44">
        <v>0</v>
      </c>
      <c r="K45" s="46">
        <f t="shared" si="1"/>
        <v>0</v>
      </c>
      <c r="L45" s="47">
        <f>D45-J45</f>
        <v>6000</v>
      </c>
      <c r="M45" s="8"/>
    </row>
    <row r="46" spans="1:13" s="7" customFormat="1" ht="15.75">
      <c r="A46" s="24" t="s">
        <v>97</v>
      </c>
      <c r="B46" s="25" t="s">
        <v>237</v>
      </c>
      <c r="C46" s="44">
        <v>1391489</v>
      </c>
      <c r="D46" s="44">
        <v>1391489</v>
      </c>
      <c r="E46" s="44">
        <f>F46-0</f>
        <v>0</v>
      </c>
      <c r="F46" s="44">
        <v>0</v>
      </c>
      <c r="G46" s="46">
        <f t="shared" si="0"/>
        <v>0</v>
      </c>
      <c r="H46" s="44">
        <f t="shared" si="2"/>
        <v>1391489</v>
      </c>
      <c r="I46" s="44">
        <f t="shared" si="4"/>
        <v>0</v>
      </c>
      <c r="J46" s="44">
        <v>0</v>
      </c>
      <c r="K46" s="46">
        <f t="shared" si="1"/>
        <v>0</v>
      </c>
      <c r="L46" s="47">
        <f>D46-J46</f>
        <v>1391489</v>
      </c>
      <c r="M46" s="8"/>
    </row>
    <row r="47" spans="1:13" s="7" customFormat="1" ht="15.75">
      <c r="A47" s="24" t="s">
        <v>191</v>
      </c>
      <c r="B47" s="25" t="s">
        <v>192</v>
      </c>
      <c r="C47" s="44">
        <v>60000</v>
      </c>
      <c r="D47" s="44">
        <v>60000</v>
      </c>
      <c r="E47" s="44">
        <f>F47-0</f>
        <v>0</v>
      </c>
      <c r="F47" s="44">
        <v>0</v>
      </c>
      <c r="G47" s="46">
        <f t="shared" si="0"/>
        <v>0</v>
      </c>
      <c r="H47" s="44">
        <f t="shared" si="2"/>
        <v>60000</v>
      </c>
      <c r="I47" s="44">
        <f t="shared" si="4"/>
        <v>0</v>
      </c>
      <c r="J47" s="44">
        <v>0</v>
      </c>
      <c r="K47" s="46">
        <f t="shared" si="1"/>
        <v>0</v>
      </c>
      <c r="L47" s="47">
        <f>D47-J47</f>
        <v>60000</v>
      </c>
      <c r="M47" s="8"/>
    </row>
    <row r="48" spans="1:13" s="7" customFormat="1" ht="15.75">
      <c r="A48" s="24" t="s">
        <v>54</v>
      </c>
      <c r="B48" s="25" t="s">
        <v>61</v>
      </c>
      <c r="C48" s="44">
        <v>932602387</v>
      </c>
      <c r="D48" s="44">
        <v>932602387</v>
      </c>
      <c r="E48" s="44">
        <f>F48-149081410</f>
        <v>147950653</v>
      </c>
      <c r="F48" s="44">
        <v>297032063</v>
      </c>
      <c r="G48" s="46">
        <f aca="true" t="shared" si="5" ref="G48:G79">(F48/$F$244)*100</f>
        <v>1.4066224479056477</v>
      </c>
      <c r="H48" s="44">
        <f t="shared" si="2"/>
        <v>635570324</v>
      </c>
      <c r="I48" s="44">
        <f>J48-149081410</f>
        <v>147950653</v>
      </c>
      <c r="J48" s="44">
        <v>297032063</v>
      </c>
      <c r="K48" s="46">
        <f aca="true" t="shared" si="6" ref="K48:K79">(J48/$J$244)*100</f>
        <v>1.6334727343441828</v>
      </c>
      <c r="L48" s="47">
        <f>D48-J48</f>
        <v>635570324</v>
      </c>
      <c r="M48" s="8"/>
    </row>
    <row r="49" spans="1:13" s="7" customFormat="1" ht="15.75">
      <c r="A49" s="24" t="s">
        <v>185</v>
      </c>
      <c r="B49" s="25" t="s">
        <v>186</v>
      </c>
      <c r="C49" s="44">
        <v>1000</v>
      </c>
      <c r="D49" s="44">
        <v>1000</v>
      </c>
      <c r="E49" s="44">
        <f>F49-0</f>
        <v>0</v>
      </c>
      <c r="F49" s="44">
        <v>0</v>
      </c>
      <c r="G49" s="46">
        <f t="shared" si="5"/>
        <v>0</v>
      </c>
      <c r="H49" s="44">
        <f t="shared" si="2"/>
        <v>1000</v>
      </c>
      <c r="I49" s="44">
        <f t="shared" si="4"/>
        <v>0</v>
      </c>
      <c r="J49" s="44">
        <v>0</v>
      </c>
      <c r="K49" s="46">
        <f t="shared" si="6"/>
        <v>0</v>
      </c>
      <c r="L49" s="47">
        <f t="shared" si="3"/>
        <v>1000</v>
      </c>
      <c r="M49" s="8"/>
    </row>
    <row r="50" spans="1:13" s="7" customFormat="1" ht="15.75">
      <c r="A50" s="24" t="s">
        <v>209</v>
      </c>
      <c r="B50" s="25" t="s">
        <v>210</v>
      </c>
      <c r="C50" s="44">
        <v>5000</v>
      </c>
      <c r="D50" s="44">
        <v>5000</v>
      </c>
      <c r="E50" s="44">
        <f>F50-0</f>
        <v>0</v>
      </c>
      <c r="F50" s="44">
        <v>0</v>
      </c>
      <c r="G50" s="46">
        <f t="shared" si="5"/>
        <v>0</v>
      </c>
      <c r="H50" s="44">
        <f>D50-F50</f>
        <v>5000</v>
      </c>
      <c r="I50" s="44">
        <f t="shared" si="4"/>
        <v>0</v>
      </c>
      <c r="J50" s="44">
        <v>0</v>
      </c>
      <c r="K50" s="46">
        <f t="shared" si="6"/>
        <v>0</v>
      </c>
      <c r="L50" s="47">
        <f>D50-J50</f>
        <v>5000</v>
      </c>
      <c r="M50" s="8"/>
    </row>
    <row r="51" spans="1:13" s="7" customFormat="1" ht="15.75">
      <c r="A51" s="35" t="s">
        <v>63</v>
      </c>
      <c r="B51" s="27" t="s">
        <v>62</v>
      </c>
      <c r="C51" s="41">
        <f>SUM(C52:C66)</f>
        <v>10835181425</v>
      </c>
      <c r="D51" s="41">
        <f>SUM(D52:D66)</f>
        <v>10834896960</v>
      </c>
      <c r="E51" s="41">
        <f>SUM(E52:E66)</f>
        <v>1529196607</v>
      </c>
      <c r="F51" s="41">
        <f>SUM(F52:F66)</f>
        <v>3150520934</v>
      </c>
      <c r="G51" s="42">
        <f t="shared" si="5"/>
        <v>14.919579467624905</v>
      </c>
      <c r="H51" s="41">
        <f t="shared" si="2"/>
        <v>7684376026</v>
      </c>
      <c r="I51" s="41">
        <f>SUM(I52:I66)</f>
        <v>1435285638</v>
      </c>
      <c r="J51" s="41">
        <f>SUM(J52:J66)</f>
        <v>2743488868</v>
      </c>
      <c r="K51" s="42">
        <f t="shared" si="6"/>
        <v>15.087308143076752</v>
      </c>
      <c r="L51" s="43">
        <f t="shared" si="3"/>
        <v>8091408092</v>
      </c>
      <c r="M51" s="8"/>
    </row>
    <row r="52" spans="1:13" s="7" customFormat="1" ht="15.75">
      <c r="A52" s="24" t="s">
        <v>28</v>
      </c>
      <c r="B52" s="25" t="s">
        <v>33</v>
      </c>
      <c r="C52" s="44">
        <v>8746165452</v>
      </c>
      <c r="D52" s="44">
        <v>8745881782</v>
      </c>
      <c r="E52" s="44">
        <f>F52-1372450590</f>
        <v>1262395639</v>
      </c>
      <c r="F52" s="44">
        <v>2634846229</v>
      </c>
      <c r="G52" s="46">
        <f t="shared" si="5"/>
        <v>12.477554830472778</v>
      </c>
      <c r="H52" s="44">
        <f t="shared" si="2"/>
        <v>6111035553</v>
      </c>
      <c r="I52" s="44">
        <f>J52-1256692985</f>
        <v>1261502428</v>
      </c>
      <c r="J52" s="44">
        <v>2518195413</v>
      </c>
      <c r="K52" s="46">
        <f t="shared" si="6"/>
        <v>13.848348576719438</v>
      </c>
      <c r="L52" s="47">
        <f t="shared" si="3"/>
        <v>6227686369</v>
      </c>
      <c r="M52" s="8"/>
    </row>
    <row r="53" spans="1:13" s="7" customFormat="1" ht="15.75">
      <c r="A53" s="24" t="s">
        <v>49</v>
      </c>
      <c r="B53" s="25" t="s">
        <v>56</v>
      </c>
      <c r="C53" s="44">
        <v>563840578</v>
      </c>
      <c r="D53" s="44">
        <v>546840578</v>
      </c>
      <c r="E53" s="44">
        <f>F53-155847744</f>
        <v>43522675</v>
      </c>
      <c r="F53" s="44">
        <v>199370419</v>
      </c>
      <c r="G53" s="46">
        <f t="shared" si="5"/>
        <v>0.9441368180301621</v>
      </c>
      <c r="H53" s="44">
        <f t="shared" si="2"/>
        <v>347470159</v>
      </c>
      <c r="I53" s="44">
        <f>J53-19843687</f>
        <v>30731088</v>
      </c>
      <c r="J53" s="44">
        <v>50574775</v>
      </c>
      <c r="K53" s="46">
        <f t="shared" si="6"/>
        <v>0.2781265940575978</v>
      </c>
      <c r="L53" s="47">
        <f t="shared" si="3"/>
        <v>496265803</v>
      </c>
      <c r="M53" s="8"/>
    </row>
    <row r="54" spans="1:13" s="7" customFormat="1" ht="15.75">
      <c r="A54" s="24" t="s">
        <v>50</v>
      </c>
      <c r="B54" s="25" t="s">
        <v>57</v>
      </c>
      <c r="C54" s="44">
        <v>100000</v>
      </c>
      <c r="D54" s="44">
        <v>100000</v>
      </c>
      <c r="E54" s="44">
        <f>F54-0</f>
        <v>0</v>
      </c>
      <c r="F54" s="44">
        <v>0</v>
      </c>
      <c r="G54" s="46">
        <f t="shared" si="5"/>
        <v>0</v>
      </c>
      <c r="H54" s="44">
        <f>D54-F54</f>
        <v>100000</v>
      </c>
      <c r="I54" s="44">
        <f aca="true" t="shared" si="7" ref="I54:I66">J54-0</f>
        <v>0</v>
      </c>
      <c r="J54" s="44">
        <v>0</v>
      </c>
      <c r="K54" s="46">
        <f t="shared" si="6"/>
        <v>0</v>
      </c>
      <c r="L54" s="47">
        <f t="shared" si="3"/>
        <v>100000</v>
      </c>
      <c r="M54" s="8"/>
    </row>
    <row r="55" spans="1:13" s="7" customFormat="1" ht="15.75">
      <c r="A55" s="24" t="s">
        <v>29</v>
      </c>
      <c r="B55" s="25" t="s">
        <v>34</v>
      </c>
      <c r="C55" s="44">
        <v>56148</v>
      </c>
      <c r="D55" s="44">
        <v>56148</v>
      </c>
      <c r="E55" s="44">
        <f>F55-0</f>
        <v>0</v>
      </c>
      <c r="F55" s="44">
        <v>0</v>
      </c>
      <c r="G55" s="46">
        <f t="shared" si="5"/>
        <v>0</v>
      </c>
      <c r="H55" s="44">
        <f t="shared" si="2"/>
        <v>56148</v>
      </c>
      <c r="I55" s="44">
        <f t="shared" si="7"/>
        <v>0</v>
      </c>
      <c r="J55" s="44">
        <v>0</v>
      </c>
      <c r="K55" s="46">
        <f t="shared" si="6"/>
        <v>0</v>
      </c>
      <c r="L55" s="47">
        <f t="shared" si="3"/>
        <v>56148</v>
      </c>
      <c r="M55" s="8"/>
    </row>
    <row r="56" spans="1:13" s="7" customFormat="1" ht="15.75">
      <c r="A56" s="24" t="s">
        <v>64</v>
      </c>
      <c r="B56" s="25" t="s">
        <v>72</v>
      </c>
      <c r="C56" s="44">
        <v>619551192</v>
      </c>
      <c r="D56" s="44">
        <v>619550397</v>
      </c>
      <c r="E56" s="44">
        <f>F56-34291120</f>
        <v>79778466</v>
      </c>
      <c r="F56" s="44">
        <v>114069586</v>
      </c>
      <c r="G56" s="46">
        <f t="shared" si="5"/>
        <v>0.5401869369600809</v>
      </c>
      <c r="H56" s="44">
        <f t="shared" si="2"/>
        <v>505480811</v>
      </c>
      <c r="I56" s="44">
        <f>J56-25271517</f>
        <v>49082693</v>
      </c>
      <c r="J56" s="44">
        <v>74354210</v>
      </c>
      <c r="K56" s="46">
        <f t="shared" si="6"/>
        <v>0.40889718602096364</v>
      </c>
      <c r="L56" s="47">
        <f t="shared" si="3"/>
        <v>545196187</v>
      </c>
      <c r="M56" s="8"/>
    </row>
    <row r="57" spans="1:13" s="7" customFormat="1" ht="15.75">
      <c r="A57" s="24" t="s">
        <v>65</v>
      </c>
      <c r="B57" s="25" t="s">
        <v>73</v>
      </c>
      <c r="C57" s="44">
        <v>151793953</v>
      </c>
      <c r="D57" s="44">
        <v>151793953</v>
      </c>
      <c r="E57" s="44">
        <f>F57-7159739</f>
        <v>36907545</v>
      </c>
      <c r="F57" s="44">
        <v>44067284</v>
      </c>
      <c r="G57" s="46">
        <f t="shared" si="5"/>
        <v>0.20868464591525726</v>
      </c>
      <c r="H57" s="44">
        <f t="shared" si="2"/>
        <v>107726669</v>
      </c>
      <c r="I57" s="44">
        <f>J57-3527577</f>
        <v>22486353</v>
      </c>
      <c r="J57" s="44">
        <v>26013930</v>
      </c>
      <c r="K57" s="46">
        <f t="shared" si="6"/>
        <v>0.14305878274204414</v>
      </c>
      <c r="L57" s="47">
        <f t="shared" si="3"/>
        <v>125780023</v>
      </c>
      <c r="M57" s="8"/>
    </row>
    <row r="58" spans="1:13" s="7" customFormat="1" ht="15.75">
      <c r="A58" s="24" t="s">
        <v>66</v>
      </c>
      <c r="B58" s="25" t="s">
        <v>74</v>
      </c>
      <c r="C58" s="44">
        <v>1000</v>
      </c>
      <c r="D58" s="44">
        <v>1000</v>
      </c>
      <c r="E58" s="44">
        <f>F58-0</f>
        <v>0</v>
      </c>
      <c r="F58" s="44">
        <v>0</v>
      </c>
      <c r="G58" s="46">
        <f t="shared" si="5"/>
        <v>0</v>
      </c>
      <c r="H58" s="44">
        <f t="shared" si="2"/>
        <v>1000</v>
      </c>
      <c r="I58" s="44">
        <f t="shared" si="7"/>
        <v>0</v>
      </c>
      <c r="J58" s="44">
        <v>0</v>
      </c>
      <c r="K58" s="46">
        <f t="shared" si="6"/>
        <v>0</v>
      </c>
      <c r="L58" s="47">
        <f t="shared" si="3"/>
        <v>1000</v>
      </c>
      <c r="M58" s="8"/>
    </row>
    <row r="59" spans="1:13" s="7" customFormat="1" ht="15.75">
      <c r="A59" s="24" t="s">
        <v>67</v>
      </c>
      <c r="B59" s="25" t="s">
        <v>75</v>
      </c>
      <c r="C59" s="44">
        <v>148004000</v>
      </c>
      <c r="D59" s="44">
        <v>148004000</v>
      </c>
      <c r="E59" s="44">
        <f>F59-10134711</f>
        <v>22569675</v>
      </c>
      <c r="F59" s="44">
        <v>32704386</v>
      </c>
      <c r="G59" s="46">
        <f t="shared" si="5"/>
        <v>0.15487460521247226</v>
      </c>
      <c r="H59" s="44">
        <f t="shared" si="2"/>
        <v>115299614</v>
      </c>
      <c r="I59" s="44">
        <f>J59-888400</f>
        <v>5909262</v>
      </c>
      <c r="J59" s="44">
        <v>6797662</v>
      </c>
      <c r="K59" s="46">
        <f t="shared" si="6"/>
        <v>0.037382481278755236</v>
      </c>
      <c r="L59" s="47">
        <f t="shared" si="3"/>
        <v>141206338</v>
      </c>
      <c r="M59" s="8"/>
    </row>
    <row r="60" spans="1:13" s="7" customFormat="1" ht="15.75">
      <c r="A60" s="24" t="s">
        <v>68</v>
      </c>
      <c r="B60" s="25" t="s">
        <v>76</v>
      </c>
      <c r="C60" s="44">
        <v>419440141</v>
      </c>
      <c r="D60" s="44">
        <v>419440141</v>
      </c>
      <c r="E60" s="44">
        <f>F60-0</f>
        <v>50797424</v>
      </c>
      <c r="F60" s="44">
        <v>50797424</v>
      </c>
      <c r="G60" s="46">
        <f t="shared" si="5"/>
        <v>0.24055583822336749</v>
      </c>
      <c r="H60" s="44">
        <f t="shared" si="2"/>
        <v>368642717</v>
      </c>
      <c r="I60" s="44">
        <f t="shared" si="7"/>
        <v>48762491</v>
      </c>
      <c r="J60" s="44">
        <v>48762491</v>
      </c>
      <c r="K60" s="46">
        <f t="shared" si="6"/>
        <v>0.26816027435800294</v>
      </c>
      <c r="L60" s="47">
        <f t="shared" si="3"/>
        <v>370677650</v>
      </c>
      <c r="M60" s="8"/>
    </row>
    <row r="61" spans="1:13" s="7" customFormat="1" ht="15.75">
      <c r="A61" s="24" t="s">
        <v>238</v>
      </c>
      <c r="B61" s="25" t="s">
        <v>239</v>
      </c>
      <c r="C61" s="44">
        <v>11395733</v>
      </c>
      <c r="D61" s="44">
        <v>11395733</v>
      </c>
      <c r="E61" s="44">
        <f>F61-1865000</f>
        <v>646758</v>
      </c>
      <c r="F61" s="44">
        <v>2511758</v>
      </c>
      <c r="G61" s="46">
        <f t="shared" si="5"/>
        <v>0.011894659286349817</v>
      </c>
      <c r="H61" s="44">
        <f>D61-F61</f>
        <v>8883975</v>
      </c>
      <c r="I61" s="44">
        <f>J61-907560</f>
        <v>1548130</v>
      </c>
      <c r="J61" s="44">
        <v>2455690</v>
      </c>
      <c r="K61" s="46">
        <f t="shared" si="6"/>
        <v>0.013504611651980703</v>
      </c>
      <c r="L61" s="47">
        <f t="shared" si="3"/>
        <v>8940043</v>
      </c>
      <c r="M61" s="8"/>
    </row>
    <row r="62" spans="1:13" s="7" customFormat="1" ht="15.75">
      <c r="A62" s="24" t="s">
        <v>106</v>
      </c>
      <c r="B62" s="25" t="s">
        <v>108</v>
      </c>
      <c r="C62" s="44">
        <v>810000</v>
      </c>
      <c r="D62" s="44">
        <v>810000</v>
      </c>
      <c r="E62" s="44">
        <f>F62-0</f>
        <v>0</v>
      </c>
      <c r="F62" s="44">
        <v>0</v>
      </c>
      <c r="G62" s="46">
        <f t="shared" si="5"/>
        <v>0</v>
      </c>
      <c r="H62" s="44">
        <f>D62-F62</f>
        <v>810000</v>
      </c>
      <c r="I62" s="44">
        <f t="shared" si="7"/>
        <v>0</v>
      </c>
      <c r="J62" s="44">
        <v>0</v>
      </c>
      <c r="K62" s="46">
        <f t="shared" si="6"/>
        <v>0</v>
      </c>
      <c r="L62" s="47">
        <f t="shared" si="3"/>
        <v>810000</v>
      </c>
      <c r="M62" s="8"/>
    </row>
    <row r="63" spans="1:13" s="7" customFormat="1" ht="15.75">
      <c r="A63" s="24" t="s">
        <v>69</v>
      </c>
      <c r="B63" s="25" t="s">
        <v>77</v>
      </c>
      <c r="C63" s="44">
        <v>23806442</v>
      </c>
      <c r="D63" s="44">
        <v>23806442</v>
      </c>
      <c r="E63" s="44">
        <f>F63-0</f>
        <v>2189030</v>
      </c>
      <c r="F63" s="44">
        <v>2189030</v>
      </c>
      <c r="G63" s="46">
        <f t="shared" si="5"/>
        <v>0.010366351383213806</v>
      </c>
      <c r="H63" s="44">
        <f t="shared" si="2"/>
        <v>21617412</v>
      </c>
      <c r="I63" s="44">
        <f t="shared" si="7"/>
        <v>2188430</v>
      </c>
      <c r="J63" s="44">
        <v>2188430</v>
      </c>
      <c r="K63" s="46">
        <f t="shared" si="6"/>
        <v>0.012034864855720442</v>
      </c>
      <c r="L63" s="47">
        <f t="shared" si="3"/>
        <v>21618012</v>
      </c>
      <c r="M63" s="8"/>
    </row>
    <row r="64" spans="1:13" s="7" customFormat="1" ht="15.75">
      <c r="A64" s="24" t="s">
        <v>53</v>
      </c>
      <c r="B64" s="25" t="s">
        <v>60</v>
      </c>
      <c r="C64" s="44">
        <v>139221261</v>
      </c>
      <c r="D64" s="44">
        <v>139221261</v>
      </c>
      <c r="E64" s="44">
        <f>F64-29853326</f>
        <v>24630157</v>
      </c>
      <c r="F64" s="44">
        <v>54483483</v>
      </c>
      <c r="G64" s="46">
        <f t="shared" si="5"/>
        <v>0.2580115070873199</v>
      </c>
      <c r="H64" s="44">
        <f t="shared" si="2"/>
        <v>84737778</v>
      </c>
      <c r="I64" s="44">
        <f>J64-1023596</f>
        <v>11250564</v>
      </c>
      <c r="J64" s="44">
        <v>12274160</v>
      </c>
      <c r="K64" s="46">
        <f t="shared" si="6"/>
        <v>0.06749946620065052</v>
      </c>
      <c r="L64" s="47">
        <f t="shared" si="3"/>
        <v>126947101</v>
      </c>
      <c r="M64" s="8"/>
    </row>
    <row r="65" spans="1:13" s="7" customFormat="1" ht="15.75">
      <c r="A65" s="24" t="s">
        <v>70</v>
      </c>
      <c r="B65" s="25" t="s">
        <v>78</v>
      </c>
      <c r="C65" s="44">
        <v>5119272</v>
      </c>
      <c r="D65" s="44">
        <v>5119272</v>
      </c>
      <c r="E65" s="44">
        <f>F65-722624</f>
        <v>716097</v>
      </c>
      <c r="F65" s="44">
        <v>1438721</v>
      </c>
      <c r="G65" s="46">
        <f t="shared" si="5"/>
        <v>0.006813194624289639</v>
      </c>
      <c r="H65" s="44">
        <f t="shared" si="2"/>
        <v>3680551</v>
      </c>
      <c r="I65" s="44">
        <f>J65-47908</f>
        <v>1036137</v>
      </c>
      <c r="J65" s="44">
        <v>1084045</v>
      </c>
      <c r="K65" s="46">
        <f t="shared" si="6"/>
        <v>0.005961504399281433</v>
      </c>
      <c r="L65" s="47">
        <f t="shared" si="3"/>
        <v>4035227</v>
      </c>
      <c r="M65" s="8"/>
    </row>
    <row r="66" spans="1:13" s="7" customFormat="1" ht="15.75">
      <c r="A66" s="24" t="s">
        <v>71</v>
      </c>
      <c r="B66" s="25" t="s">
        <v>79</v>
      </c>
      <c r="C66" s="44">
        <v>5876253</v>
      </c>
      <c r="D66" s="44">
        <v>22876253</v>
      </c>
      <c r="E66" s="44">
        <f>F66-8999473</f>
        <v>5043141</v>
      </c>
      <c r="F66" s="44">
        <v>14042614</v>
      </c>
      <c r="G66" s="46">
        <f t="shared" si="5"/>
        <v>0.06650008042961382</v>
      </c>
      <c r="H66" s="44">
        <f t="shared" si="2"/>
        <v>8833639</v>
      </c>
      <c r="I66" s="44">
        <f t="shared" si="7"/>
        <v>788062</v>
      </c>
      <c r="J66" s="44">
        <v>788062</v>
      </c>
      <c r="K66" s="46">
        <f t="shared" si="6"/>
        <v>0.004333800792316301</v>
      </c>
      <c r="L66" s="47">
        <f t="shared" si="3"/>
        <v>22088191</v>
      </c>
      <c r="M66" s="8"/>
    </row>
    <row r="67" spans="1:13" s="7" customFormat="1" ht="15.75">
      <c r="A67" s="35" t="s">
        <v>81</v>
      </c>
      <c r="B67" s="27" t="s">
        <v>80</v>
      </c>
      <c r="C67" s="41">
        <f>SUM(C68:C76)</f>
        <v>587756519</v>
      </c>
      <c r="D67" s="41">
        <f>SUM(D68:D76)</f>
        <v>587735987</v>
      </c>
      <c r="E67" s="41">
        <f>SUM(E68:E76)</f>
        <v>17149832</v>
      </c>
      <c r="F67" s="41">
        <f>SUM(F68:F76)</f>
        <v>31380837</v>
      </c>
      <c r="G67" s="42">
        <f t="shared" si="5"/>
        <v>0.14860681810726986</v>
      </c>
      <c r="H67" s="41">
        <f>D67-F67</f>
        <v>556355150</v>
      </c>
      <c r="I67" s="41">
        <f>SUM(I68:I76)</f>
        <v>16111680</v>
      </c>
      <c r="J67" s="41">
        <f>SUM(J68:J76)</f>
        <v>28568337</v>
      </c>
      <c r="K67" s="42">
        <f t="shared" si="6"/>
        <v>0.15710627022462587</v>
      </c>
      <c r="L67" s="43">
        <f>D67-J67</f>
        <v>559167650</v>
      </c>
      <c r="M67" s="8"/>
    </row>
    <row r="68" spans="1:13" s="7" customFormat="1" ht="15.75">
      <c r="A68" s="24" t="s">
        <v>28</v>
      </c>
      <c r="B68" s="25" t="s">
        <v>33</v>
      </c>
      <c r="C68" s="44">
        <v>60536271</v>
      </c>
      <c r="D68" s="44">
        <v>60515739</v>
      </c>
      <c r="E68" s="44">
        <f>F68-8263525</f>
        <v>7437395</v>
      </c>
      <c r="F68" s="44">
        <v>15700920</v>
      </c>
      <c r="G68" s="46">
        <f t="shared" si="5"/>
        <v>0.07435313986547891</v>
      </c>
      <c r="H68" s="44">
        <f t="shared" si="2"/>
        <v>44814819</v>
      </c>
      <c r="I68" s="44">
        <f>J68-6577872</f>
        <v>7278626</v>
      </c>
      <c r="J68" s="44">
        <v>13856498</v>
      </c>
      <c r="K68" s="46">
        <f t="shared" si="6"/>
        <v>0.07620124052565565</v>
      </c>
      <c r="L68" s="47">
        <f t="shared" si="3"/>
        <v>46659241</v>
      </c>
      <c r="M68" s="8"/>
    </row>
    <row r="69" spans="1:13" s="7" customFormat="1" ht="15.75">
      <c r="A69" s="24" t="s">
        <v>64</v>
      </c>
      <c r="B69" s="25" t="s">
        <v>72</v>
      </c>
      <c r="C69" s="44">
        <v>109221603</v>
      </c>
      <c r="D69" s="44">
        <v>109221603</v>
      </c>
      <c r="E69" s="44">
        <f>F69-0</f>
        <v>0</v>
      </c>
      <c r="F69" s="44">
        <v>0</v>
      </c>
      <c r="G69" s="46">
        <f t="shared" si="5"/>
        <v>0</v>
      </c>
      <c r="H69" s="44">
        <f t="shared" si="2"/>
        <v>109221603</v>
      </c>
      <c r="I69" s="44">
        <f aca="true" t="shared" si="8" ref="I69:I76">J69-0</f>
        <v>0</v>
      </c>
      <c r="J69" s="44">
        <v>0</v>
      </c>
      <c r="K69" s="46">
        <f t="shared" si="6"/>
        <v>0</v>
      </c>
      <c r="L69" s="47">
        <f t="shared" si="3"/>
        <v>109221603</v>
      </c>
      <c r="M69" s="8"/>
    </row>
    <row r="70" spans="1:13" s="7" customFormat="1" ht="15.75">
      <c r="A70" s="24" t="s">
        <v>52</v>
      </c>
      <c r="B70" s="25" t="s">
        <v>59</v>
      </c>
      <c r="C70" s="44">
        <v>3001033</v>
      </c>
      <c r="D70" s="44">
        <v>3001033</v>
      </c>
      <c r="E70" s="44">
        <f>F70-0</f>
        <v>0</v>
      </c>
      <c r="F70" s="44">
        <v>0</v>
      </c>
      <c r="G70" s="46">
        <f t="shared" si="5"/>
        <v>0</v>
      </c>
      <c r="H70" s="44">
        <f t="shared" si="2"/>
        <v>3001033</v>
      </c>
      <c r="I70" s="44">
        <f t="shared" si="8"/>
        <v>0</v>
      </c>
      <c r="J70" s="44">
        <v>0</v>
      </c>
      <c r="K70" s="46">
        <f t="shared" si="6"/>
        <v>0</v>
      </c>
      <c r="L70" s="47">
        <f t="shared" si="3"/>
        <v>3001033</v>
      </c>
      <c r="M70" s="8"/>
    </row>
    <row r="71" spans="1:13" s="7" customFormat="1" ht="15.75">
      <c r="A71" s="24" t="s">
        <v>131</v>
      </c>
      <c r="B71" s="25" t="s">
        <v>132</v>
      </c>
      <c r="C71" s="44">
        <v>5000</v>
      </c>
      <c r="D71" s="44">
        <v>5000</v>
      </c>
      <c r="E71" s="44">
        <f>F71-0</f>
        <v>0</v>
      </c>
      <c r="F71" s="44">
        <v>0</v>
      </c>
      <c r="G71" s="46">
        <f t="shared" si="5"/>
        <v>0</v>
      </c>
      <c r="H71" s="44">
        <f>D71-F71</f>
        <v>5000</v>
      </c>
      <c r="I71" s="44">
        <f t="shared" si="8"/>
        <v>0</v>
      </c>
      <c r="J71" s="44">
        <v>0</v>
      </c>
      <c r="K71" s="46">
        <f t="shared" si="6"/>
        <v>0</v>
      </c>
      <c r="L71" s="47">
        <f t="shared" si="3"/>
        <v>5000</v>
      </c>
      <c r="M71" s="8"/>
    </row>
    <row r="72" spans="1:13" s="7" customFormat="1" ht="15.75">
      <c r="A72" s="24" t="s">
        <v>82</v>
      </c>
      <c r="B72" s="25" t="s">
        <v>84</v>
      </c>
      <c r="C72" s="44">
        <v>22716759</v>
      </c>
      <c r="D72" s="44">
        <v>22716759</v>
      </c>
      <c r="E72" s="44">
        <f>F72-0</f>
        <v>153956</v>
      </c>
      <c r="F72" s="44">
        <v>153956</v>
      </c>
      <c r="G72" s="46">
        <f t="shared" si="5"/>
        <v>0.0007290726913537341</v>
      </c>
      <c r="H72" s="44">
        <f t="shared" si="2"/>
        <v>22562803</v>
      </c>
      <c r="I72" s="44">
        <f t="shared" si="8"/>
        <v>99879</v>
      </c>
      <c r="J72" s="44">
        <v>99879</v>
      </c>
      <c r="K72" s="46">
        <f t="shared" si="6"/>
        <v>0.000549266034063005</v>
      </c>
      <c r="L72" s="47">
        <f t="shared" si="3"/>
        <v>22616880</v>
      </c>
      <c r="M72" s="8"/>
    </row>
    <row r="73" spans="1:13" s="7" customFormat="1" ht="15.75">
      <c r="A73" s="24" t="s">
        <v>83</v>
      </c>
      <c r="B73" s="25" t="s">
        <v>85</v>
      </c>
      <c r="C73" s="44">
        <v>336388354</v>
      </c>
      <c r="D73" s="44">
        <v>336388354</v>
      </c>
      <c r="E73" s="44">
        <f>F73-5967480</f>
        <v>9558481</v>
      </c>
      <c r="F73" s="44">
        <v>15525961</v>
      </c>
      <c r="G73" s="46">
        <f t="shared" si="5"/>
        <v>0.07352460555043722</v>
      </c>
      <c r="H73" s="44">
        <f t="shared" si="2"/>
        <v>320862393</v>
      </c>
      <c r="I73" s="44">
        <f>J73-5878785</f>
        <v>8733175</v>
      </c>
      <c r="J73" s="44">
        <v>14611960</v>
      </c>
      <c r="K73" s="46">
        <f t="shared" si="6"/>
        <v>0.0803557636649072</v>
      </c>
      <c r="L73" s="47">
        <f t="shared" si="3"/>
        <v>321776394</v>
      </c>
      <c r="M73" s="8"/>
    </row>
    <row r="74" spans="1:13" s="7" customFormat="1" ht="15.75">
      <c r="A74" s="24" t="s">
        <v>251</v>
      </c>
      <c r="B74" s="25" t="s">
        <v>75</v>
      </c>
      <c r="C74" s="44">
        <v>0</v>
      </c>
      <c r="D74" s="44">
        <v>0</v>
      </c>
      <c r="E74" s="44">
        <f>F74-0</f>
        <v>0</v>
      </c>
      <c r="F74" s="44">
        <v>0</v>
      </c>
      <c r="G74" s="46">
        <f t="shared" si="5"/>
        <v>0</v>
      </c>
      <c r="H74" s="44">
        <f>D74-F74</f>
        <v>0</v>
      </c>
      <c r="I74" s="44">
        <f t="shared" si="8"/>
        <v>0</v>
      </c>
      <c r="J74" s="44">
        <v>0</v>
      </c>
      <c r="K74" s="46">
        <f t="shared" si="6"/>
        <v>0</v>
      </c>
      <c r="L74" s="47">
        <f t="shared" si="3"/>
        <v>0</v>
      </c>
      <c r="M74" s="8"/>
    </row>
    <row r="75" spans="1:13" s="7" customFormat="1" ht="15.75">
      <c r="A75" s="24" t="s">
        <v>68</v>
      </c>
      <c r="B75" s="25" t="s">
        <v>76</v>
      </c>
      <c r="C75" s="44">
        <v>54442499</v>
      </c>
      <c r="D75" s="44">
        <v>54442499</v>
      </c>
      <c r="E75" s="44">
        <f>F75-0</f>
        <v>0</v>
      </c>
      <c r="F75" s="44">
        <v>0</v>
      </c>
      <c r="G75" s="46">
        <f t="shared" si="5"/>
        <v>0</v>
      </c>
      <c r="H75" s="44">
        <f>D75-F75</f>
        <v>54442499</v>
      </c>
      <c r="I75" s="44">
        <f t="shared" si="8"/>
        <v>0</v>
      </c>
      <c r="J75" s="44">
        <v>0</v>
      </c>
      <c r="K75" s="46">
        <f t="shared" si="6"/>
        <v>0</v>
      </c>
      <c r="L75" s="47">
        <f t="shared" si="3"/>
        <v>54442499</v>
      </c>
      <c r="M75" s="8"/>
    </row>
    <row r="76" spans="1:13" s="7" customFormat="1" ht="15.75">
      <c r="A76" s="24" t="s">
        <v>53</v>
      </c>
      <c r="B76" s="25" t="s">
        <v>60</v>
      </c>
      <c r="C76" s="44">
        <v>1445000</v>
      </c>
      <c r="D76" s="44">
        <v>1445000</v>
      </c>
      <c r="E76" s="44">
        <f>F76-0</f>
        <v>0</v>
      </c>
      <c r="F76" s="44">
        <v>0</v>
      </c>
      <c r="G76" s="46">
        <f t="shared" si="5"/>
        <v>0</v>
      </c>
      <c r="H76" s="44">
        <f t="shared" si="2"/>
        <v>1445000</v>
      </c>
      <c r="I76" s="44">
        <f t="shared" si="8"/>
        <v>0</v>
      </c>
      <c r="J76" s="44">
        <v>0</v>
      </c>
      <c r="K76" s="46">
        <f t="shared" si="6"/>
        <v>0</v>
      </c>
      <c r="L76" s="47">
        <f t="shared" si="3"/>
        <v>1445000</v>
      </c>
      <c r="M76" s="8"/>
    </row>
    <row r="77" spans="1:13" s="7" customFormat="1" ht="15.75">
      <c r="A77" s="35" t="s">
        <v>87</v>
      </c>
      <c r="B77" s="27" t="s">
        <v>86</v>
      </c>
      <c r="C77" s="41">
        <f>SUM(C78:C80)</f>
        <v>22627160924</v>
      </c>
      <c r="D77" s="41">
        <f>SUM(D78:D80)</f>
        <v>22627160924</v>
      </c>
      <c r="E77" s="41">
        <f>SUM(E78:E80)</f>
        <v>2087989782</v>
      </c>
      <c r="F77" s="41">
        <f>SUM(F78:F80)</f>
        <v>6706041903</v>
      </c>
      <c r="G77" s="42">
        <f t="shared" si="5"/>
        <v>31.7570735700533</v>
      </c>
      <c r="H77" s="41">
        <f t="shared" si="2"/>
        <v>15921119021</v>
      </c>
      <c r="I77" s="41">
        <f>SUM(I78:I80)</f>
        <v>2087520987</v>
      </c>
      <c r="J77" s="41">
        <f>SUM(J78:J80)</f>
        <v>6626860098</v>
      </c>
      <c r="K77" s="42">
        <f t="shared" si="6"/>
        <v>36.44318790054803</v>
      </c>
      <c r="L77" s="43">
        <f t="shared" si="3"/>
        <v>16000300826</v>
      </c>
      <c r="M77" s="8"/>
    </row>
    <row r="78" spans="1:13" s="7" customFormat="1" ht="15.75">
      <c r="A78" s="24" t="s">
        <v>28</v>
      </c>
      <c r="B78" s="25" t="s">
        <v>33</v>
      </c>
      <c r="C78" s="44">
        <v>2831630799</v>
      </c>
      <c r="D78" s="44">
        <v>2831630799</v>
      </c>
      <c r="E78" s="44">
        <f>F78-1728840570</f>
        <v>-819392308</v>
      </c>
      <c r="F78" s="44">
        <v>909448262</v>
      </c>
      <c r="G78" s="46">
        <f t="shared" si="5"/>
        <v>4.306775260615474</v>
      </c>
      <c r="H78" s="44">
        <f t="shared" si="2"/>
        <v>1922182537</v>
      </c>
      <c r="I78" s="44">
        <f>J78-1650127560</f>
        <v>-819847808</v>
      </c>
      <c r="J78" s="44">
        <v>830279752</v>
      </c>
      <c r="K78" s="46">
        <f t="shared" si="6"/>
        <v>4.565969488519662</v>
      </c>
      <c r="L78" s="47">
        <f t="shared" si="3"/>
        <v>2001351047</v>
      </c>
      <c r="M78" s="8"/>
    </row>
    <row r="79" spans="1:13" s="7" customFormat="1" ht="15.75">
      <c r="A79" s="24" t="s">
        <v>49</v>
      </c>
      <c r="B79" s="25" t="s">
        <v>56</v>
      </c>
      <c r="C79" s="44">
        <v>700000</v>
      </c>
      <c r="D79" s="44">
        <v>700000</v>
      </c>
      <c r="E79" s="44">
        <f>F79-0</f>
        <v>0</v>
      </c>
      <c r="F79" s="44">
        <v>0</v>
      </c>
      <c r="G79" s="46">
        <f t="shared" si="5"/>
        <v>0</v>
      </c>
      <c r="H79" s="44">
        <f t="shared" si="2"/>
        <v>700000</v>
      </c>
      <c r="I79" s="44">
        <f>J79-0</f>
        <v>0</v>
      </c>
      <c r="J79" s="44">
        <v>0</v>
      </c>
      <c r="K79" s="46">
        <f t="shared" si="6"/>
        <v>0</v>
      </c>
      <c r="L79" s="47">
        <f t="shared" si="3"/>
        <v>700000</v>
      </c>
      <c r="M79" s="8"/>
    </row>
    <row r="80" spans="1:13" s="7" customFormat="1" ht="15.75">
      <c r="A80" s="24" t="s">
        <v>88</v>
      </c>
      <c r="B80" s="25" t="s">
        <v>89</v>
      </c>
      <c r="C80" s="44">
        <v>19794830125</v>
      </c>
      <c r="D80" s="44">
        <v>19794830125</v>
      </c>
      <c r="E80" s="44">
        <f>F80-2889211551</f>
        <v>2907382090</v>
      </c>
      <c r="F80" s="44">
        <v>5796593641</v>
      </c>
      <c r="G80" s="46">
        <f aca="true" t="shared" si="9" ref="G80:G111">(F80/$F$244)*100</f>
        <v>27.45029830943783</v>
      </c>
      <c r="H80" s="44">
        <f t="shared" si="2"/>
        <v>13998236484</v>
      </c>
      <c r="I80" s="44">
        <f>J80-2889211551</f>
        <v>2907368795</v>
      </c>
      <c r="J80" s="44">
        <v>5796580346</v>
      </c>
      <c r="K80" s="46">
        <f aca="true" t="shared" si="10" ref="K80:K111">(J80/$J$244)*100</f>
        <v>31.877218412028363</v>
      </c>
      <c r="L80" s="47">
        <f t="shared" si="3"/>
        <v>13998249779</v>
      </c>
      <c r="M80" s="8"/>
    </row>
    <row r="81" spans="1:13" s="7" customFormat="1" ht="15.75">
      <c r="A81" s="35" t="s">
        <v>90</v>
      </c>
      <c r="B81" s="27" t="s">
        <v>91</v>
      </c>
      <c r="C81" s="41">
        <f>SUM(C82:C92)</f>
        <v>6212062031</v>
      </c>
      <c r="D81" s="41">
        <f>SUM(D82:D92)</f>
        <v>6212062031</v>
      </c>
      <c r="E81" s="41">
        <f>SUM(E82:E92)</f>
        <v>720825649</v>
      </c>
      <c r="F81" s="41">
        <f>SUM(F82:F92)</f>
        <v>1363557330</v>
      </c>
      <c r="G81" s="42">
        <f t="shared" si="9"/>
        <v>6.457250203942761</v>
      </c>
      <c r="H81" s="41">
        <f t="shared" si="2"/>
        <v>4848504701</v>
      </c>
      <c r="I81" s="41">
        <f>SUM(I82:I92)</f>
        <v>598137971</v>
      </c>
      <c r="J81" s="41">
        <f>SUM(J82:J92)</f>
        <v>1079191707</v>
      </c>
      <c r="K81" s="42">
        <f t="shared" si="10"/>
        <v>5.934814614659483</v>
      </c>
      <c r="L81" s="43">
        <f t="shared" si="3"/>
        <v>5132870324</v>
      </c>
      <c r="M81" s="8"/>
    </row>
    <row r="82" spans="1:13" s="7" customFormat="1" ht="15.75">
      <c r="A82" s="24" t="s">
        <v>28</v>
      </c>
      <c r="B82" s="25" t="s">
        <v>33</v>
      </c>
      <c r="C82" s="44">
        <v>1069288678</v>
      </c>
      <c r="D82" s="44">
        <v>1069788678</v>
      </c>
      <c r="E82" s="44">
        <f>F82-108659688</f>
        <v>127799283</v>
      </c>
      <c r="F82" s="44">
        <v>236458971</v>
      </c>
      <c r="G82" s="46">
        <f t="shared" si="9"/>
        <v>1.1197730415294276</v>
      </c>
      <c r="H82" s="44">
        <f t="shared" si="2"/>
        <v>833329707</v>
      </c>
      <c r="I82" s="44">
        <f>J82-91629485</f>
        <v>111030731</v>
      </c>
      <c r="J82" s="44">
        <v>202660216</v>
      </c>
      <c r="K82" s="46">
        <f t="shared" si="10"/>
        <v>1.1144922666894137</v>
      </c>
      <c r="L82" s="47">
        <f t="shared" si="3"/>
        <v>867128462</v>
      </c>
      <c r="M82" s="8"/>
    </row>
    <row r="83" spans="1:13" s="7" customFormat="1" ht="15.75">
      <c r="A83" s="24" t="s">
        <v>29</v>
      </c>
      <c r="B83" s="25" t="s">
        <v>34</v>
      </c>
      <c r="C83" s="44">
        <v>12099460</v>
      </c>
      <c r="D83" s="44">
        <v>12299460</v>
      </c>
      <c r="E83" s="44">
        <f>F83-1269320</f>
        <v>1452133</v>
      </c>
      <c r="F83" s="44">
        <v>2721453</v>
      </c>
      <c r="G83" s="46">
        <f t="shared" si="9"/>
        <v>0.012887689100150004</v>
      </c>
      <c r="H83" s="44">
        <f t="shared" si="2"/>
        <v>9578007</v>
      </c>
      <c r="I83" s="44">
        <f>J83-746016</f>
        <v>1004169</v>
      </c>
      <c r="J83" s="44">
        <v>1750185</v>
      </c>
      <c r="K83" s="46">
        <f t="shared" si="10"/>
        <v>0.0096248177677646</v>
      </c>
      <c r="L83" s="47">
        <f t="shared" si="3"/>
        <v>10549275</v>
      </c>
      <c r="M83" s="8"/>
    </row>
    <row r="84" spans="1:13" s="7" customFormat="1" ht="15.75">
      <c r="A84" s="24" t="s">
        <v>65</v>
      </c>
      <c r="B84" s="25" t="s">
        <v>73</v>
      </c>
      <c r="C84" s="44">
        <v>206910176</v>
      </c>
      <c r="D84" s="44">
        <v>206910176</v>
      </c>
      <c r="E84" s="44">
        <f>F84-22114710</f>
        <v>15787911</v>
      </c>
      <c r="F84" s="44">
        <v>37902621</v>
      </c>
      <c r="G84" s="46">
        <f t="shared" si="9"/>
        <v>0.179491321558306</v>
      </c>
      <c r="H84" s="44">
        <f t="shared" si="2"/>
        <v>169007555</v>
      </c>
      <c r="I84" s="44">
        <f>J84-19563881</f>
        <v>14513445</v>
      </c>
      <c r="J84" s="44">
        <v>34077326</v>
      </c>
      <c r="K84" s="46">
        <f t="shared" si="10"/>
        <v>0.18740193337430414</v>
      </c>
      <c r="L84" s="47">
        <f t="shared" si="3"/>
        <v>172832850</v>
      </c>
      <c r="M84" s="8"/>
    </row>
    <row r="85" spans="1:13" s="7" customFormat="1" ht="15.75">
      <c r="A85" s="24" t="s">
        <v>52</v>
      </c>
      <c r="B85" s="25" t="s">
        <v>59</v>
      </c>
      <c r="C85" s="44">
        <v>0</v>
      </c>
      <c r="D85" s="44">
        <v>0</v>
      </c>
      <c r="E85" s="44">
        <f>F85-0</f>
        <v>0</v>
      </c>
      <c r="F85" s="44">
        <v>0</v>
      </c>
      <c r="G85" s="46">
        <f t="shared" si="9"/>
        <v>0</v>
      </c>
      <c r="H85" s="44">
        <f t="shared" si="2"/>
        <v>0</v>
      </c>
      <c r="I85" s="44">
        <f>J85-0</f>
        <v>0</v>
      </c>
      <c r="J85" s="44">
        <v>0</v>
      </c>
      <c r="K85" s="46">
        <f t="shared" si="10"/>
        <v>0</v>
      </c>
      <c r="L85" s="47">
        <f t="shared" si="3"/>
        <v>0</v>
      </c>
      <c r="M85" s="8"/>
    </row>
    <row r="86" spans="1:13" s="7" customFormat="1" ht="15.75">
      <c r="A86" s="24" t="s">
        <v>83</v>
      </c>
      <c r="B86" s="25" t="s">
        <v>85</v>
      </c>
      <c r="C86" s="44">
        <v>143105</v>
      </c>
      <c r="D86" s="44">
        <v>143105</v>
      </c>
      <c r="E86" s="44">
        <f>F86-0</f>
        <v>0</v>
      </c>
      <c r="F86" s="44">
        <v>0</v>
      </c>
      <c r="G86" s="46">
        <f t="shared" si="9"/>
        <v>0</v>
      </c>
      <c r="H86" s="44">
        <f t="shared" si="2"/>
        <v>143105</v>
      </c>
      <c r="I86" s="44">
        <f>J86-0</f>
        <v>0</v>
      </c>
      <c r="J86" s="44">
        <v>0</v>
      </c>
      <c r="K86" s="46">
        <f t="shared" si="10"/>
        <v>0</v>
      </c>
      <c r="L86" s="47">
        <f t="shared" si="3"/>
        <v>143105</v>
      </c>
      <c r="M86" s="8"/>
    </row>
    <row r="87" spans="1:13" s="7" customFormat="1" ht="15.75">
      <c r="A87" s="24" t="s">
        <v>92</v>
      </c>
      <c r="B87" s="25" t="s">
        <v>98</v>
      </c>
      <c r="C87" s="44">
        <v>642992060</v>
      </c>
      <c r="D87" s="44">
        <v>635313393</v>
      </c>
      <c r="E87" s="44">
        <f>F87-0</f>
        <v>5260649</v>
      </c>
      <c r="F87" s="44">
        <v>5260649</v>
      </c>
      <c r="G87" s="46">
        <f t="shared" si="9"/>
        <v>0.024912283540085022</v>
      </c>
      <c r="H87" s="44">
        <f t="shared" si="2"/>
        <v>630052744</v>
      </c>
      <c r="I87" s="44">
        <f>J87-0</f>
        <v>5260649</v>
      </c>
      <c r="J87" s="44">
        <v>5260649</v>
      </c>
      <c r="K87" s="46">
        <f t="shared" si="10"/>
        <v>0.028929963383969734</v>
      </c>
      <c r="L87" s="47">
        <f t="shared" si="3"/>
        <v>630052744</v>
      </c>
      <c r="M87" s="8"/>
    </row>
    <row r="88" spans="1:13" s="7" customFormat="1" ht="15.75">
      <c r="A88" s="24" t="s">
        <v>67</v>
      </c>
      <c r="B88" s="25" t="s">
        <v>75</v>
      </c>
      <c r="C88" s="44">
        <v>3910514046</v>
      </c>
      <c r="D88" s="44">
        <v>3917016052</v>
      </c>
      <c r="E88" s="44">
        <f>F88-497879955</f>
        <v>499621981</v>
      </c>
      <c r="F88" s="44">
        <v>997501936</v>
      </c>
      <c r="G88" s="46">
        <f t="shared" si="9"/>
        <v>4.723761471524853</v>
      </c>
      <c r="H88" s="44">
        <f t="shared" si="2"/>
        <v>2919514116</v>
      </c>
      <c r="I88" s="44">
        <f>J88-367953429</f>
        <v>406635495</v>
      </c>
      <c r="J88" s="44">
        <v>774588924</v>
      </c>
      <c r="K88" s="46">
        <f t="shared" si="10"/>
        <v>4.2597081099591545</v>
      </c>
      <c r="L88" s="47">
        <f t="shared" si="3"/>
        <v>3142427128</v>
      </c>
      <c r="M88" s="8"/>
    </row>
    <row r="89" spans="1:13" s="7" customFormat="1" ht="15.75">
      <c r="A89" s="24" t="s">
        <v>93</v>
      </c>
      <c r="B89" s="25" t="s">
        <v>99</v>
      </c>
      <c r="C89" s="44">
        <v>321378591</v>
      </c>
      <c r="D89" s="44">
        <v>321855252</v>
      </c>
      <c r="E89" s="44">
        <f>F89-8457614</f>
        <v>67100205</v>
      </c>
      <c r="F89" s="44">
        <v>75557819</v>
      </c>
      <c r="G89" s="46">
        <f t="shared" si="9"/>
        <v>0.3578109489149387</v>
      </c>
      <c r="H89" s="44">
        <f t="shared" si="2"/>
        <v>246297433</v>
      </c>
      <c r="I89" s="44">
        <f>J89-1092368</f>
        <v>56954217</v>
      </c>
      <c r="J89" s="44">
        <v>58046585</v>
      </c>
      <c r="K89" s="46">
        <f t="shared" si="10"/>
        <v>0.31921642721544186</v>
      </c>
      <c r="L89" s="47">
        <f t="shared" si="3"/>
        <v>263808667</v>
      </c>
      <c r="M89" s="8"/>
    </row>
    <row r="90" spans="1:13" s="7" customFormat="1" ht="15.75">
      <c r="A90" s="24" t="s">
        <v>94</v>
      </c>
      <c r="B90" s="25" t="s">
        <v>100</v>
      </c>
      <c r="C90" s="44">
        <v>20775162</v>
      </c>
      <c r="D90" s="44">
        <v>20775162</v>
      </c>
      <c r="E90" s="44">
        <f>F90-427242</f>
        <v>948167</v>
      </c>
      <c r="F90" s="44">
        <v>1375409</v>
      </c>
      <c r="G90" s="46">
        <f t="shared" si="9"/>
        <v>0.006513374869067448</v>
      </c>
      <c r="H90" s="44">
        <f t="shared" si="2"/>
        <v>19399753</v>
      </c>
      <c r="I90" s="44">
        <f>J90-67427</f>
        <v>124640</v>
      </c>
      <c r="J90" s="44">
        <v>192067</v>
      </c>
      <c r="K90" s="46">
        <f t="shared" si="10"/>
        <v>0.0010562368402204584</v>
      </c>
      <c r="L90" s="47">
        <f t="shared" si="3"/>
        <v>20583095</v>
      </c>
      <c r="M90" s="8"/>
    </row>
    <row r="91" spans="1:13" s="7" customFormat="1" ht="15.75">
      <c r="A91" s="24" t="s">
        <v>95</v>
      </c>
      <c r="B91" s="25" t="s">
        <v>101</v>
      </c>
      <c r="C91" s="44">
        <v>27860753</v>
      </c>
      <c r="D91" s="44">
        <v>27860753</v>
      </c>
      <c r="E91" s="44">
        <f>F91-3923152</f>
        <v>2855320</v>
      </c>
      <c r="F91" s="44">
        <v>6778472</v>
      </c>
      <c r="G91" s="46">
        <f t="shared" si="9"/>
        <v>0.032100072905933696</v>
      </c>
      <c r="H91" s="44">
        <f t="shared" si="2"/>
        <v>21082281</v>
      </c>
      <c r="I91" s="44">
        <f>J91-1130</f>
        <v>2614625</v>
      </c>
      <c r="J91" s="44">
        <v>2615755</v>
      </c>
      <c r="K91" s="46">
        <f t="shared" si="10"/>
        <v>0.014384859429214105</v>
      </c>
      <c r="L91" s="47">
        <f t="shared" si="3"/>
        <v>25244998</v>
      </c>
      <c r="M91" s="8"/>
    </row>
    <row r="92" spans="1:13" s="7" customFormat="1" ht="15.75">
      <c r="A92" s="24" t="s">
        <v>97</v>
      </c>
      <c r="B92" s="25" t="s">
        <v>241</v>
      </c>
      <c r="C92" s="44">
        <v>100000</v>
      </c>
      <c r="D92" s="44">
        <v>100000</v>
      </c>
      <c r="E92" s="44">
        <f>F92-0</f>
        <v>0</v>
      </c>
      <c r="F92" s="44">
        <v>0</v>
      </c>
      <c r="G92" s="46">
        <f t="shared" si="9"/>
        <v>0</v>
      </c>
      <c r="H92" s="44">
        <f t="shared" si="2"/>
        <v>100000</v>
      </c>
      <c r="I92" s="44">
        <f>J92-0</f>
        <v>0</v>
      </c>
      <c r="J92" s="44">
        <v>0</v>
      </c>
      <c r="K92" s="46">
        <f t="shared" si="10"/>
        <v>0</v>
      </c>
      <c r="L92" s="47">
        <f t="shared" si="3"/>
        <v>100000</v>
      </c>
      <c r="M92" s="8"/>
    </row>
    <row r="93" spans="1:13" s="7" customFormat="1" ht="15.75">
      <c r="A93" s="35" t="s">
        <v>104</v>
      </c>
      <c r="B93" s="27" t="s">
        <v>103</v>
      </c>
      <c r="C93" s="41">
        <f>SUM(C94:C97)</f>
        <v>23630612</v>
      </c>
      <c r="D93" s="41">
        <f>SUM(D94:D97)</f>
        <v>36426336</v>
      </c>
      <c r="E93" s="41">
        <f>SUM(E94:E97)</f>
        <v>4244627</v>
      </c>
      <c r="F93" s="41">
        <f>SUM(F94:F97)</f>
        <v>7334317</v>
      </c>
      <c r="G93" s="42">
        <f t="shared" si="9"/>
        <v>0.0347323276418681</v>
      </c>
      <c r="H93" s="41">
        <f t="shared" si="2"/>
        <v>29092019</v>
      </c>
      <c r="I93" s="41">
        <f>SUM(I94:I97)</f>
        <v>3572833</v>
      </c>
      <c r="J93" s="41">
        <f>SUM(J94:J97)</f>
        <v>6584602</v>
      </c>
      <c r="K93" s="42">
        <f t="shared" si="10"/>
        <v>0.0362107973290014</v>
      </c>
      <c r="L93" s="43">
        <f t="shared" si="3"/>
        <v>29841734</v>
      </c>
      <c r="M93" s="8"/>
    </row>
    <row r="94" spans="1:13" s="7" customFormat="1" ht="15.75">
      <c r="A94" s="24" t="s">
        <v>28</v>
      </c>
      <c r="B94" s="25" t="s">
        <v>33</v>
      </c>
      <c r="C94" s="44">
        <v>13518179</v>
      </c>
      <c r="D94" s="44">
        <v>26313903</v>
      </c>
      <c r="E94" s="44">
        <f>F94-3087944</f>
        <v>4244627</v>
      </c>
      <c r="F94" s="44">
        <v>7332571</v>
      </c>
      <c r="G94" s="46">
        <f t="shared" si="9"/>
        <v>0.03472405929949038</v>
      </c>
      <c r="H94" s="44">
        <f t="shared" si="2"/>
        <v>18981332</v>
      </c>
      <c r="I94" s="44">
        <f>J94-3011769</f>
        <v>3572833</v>
      </c>
      <c r="J94" s="44">
        <v>6584602</v>
      </c>
      <c r="K94" s="46">
        <f t="shared" si="10"/>
        <v>0.0362107973290014</v>
      </c>
      <c r="L94" s="47">
        <f t="shared" si="3"/>
        <v>19729301</v>
      </c>
      <c r="M94" s="8"/>
    </row>
    <row r="95" spans="1:13" s="7" customFormat="1" ht="15.75">
      <c r="A95" s="24" t="s">
        <v>242</v>
      </c>
      <c r="B95" s="25" t="s">
        <v>243</v>
      </c>
      <c r="C95" s="44">
        <v>505000</v>
      </c>
      <c r="D95" s="44">
        <v>567500</v>
      </c>
      <c r="E95" s="44">
        <f>F95-0</f>
        <v>0</v>
      </c>
      <c r="F95" s="44">
        <v>0</v>
      </c>
      <c r="G95" s="46">
        <f t="shared" si="9"/>
        <v>0</v>
      </c>
      <c r="H95" s="44">
        <f>D95-F95</f>
        <v>567500</v>
      </c>
      <c r="I95" s="44">
        <f>J95-0</f>
        <v>0</v>
      </c>
      <c r="J95" s="44">
        <v>0</v>
      </c>
      <c r="K95" s="46">
        <f t="shared" si="10"/>
        <v>0</v>
      </c>
      <c r="L95" s="47">
        <f>D95-J95</f>
        <v>567500</v>
      </c>
      <c r="M95" s="8"/>
    </row>
    <row r="96" spans="1:13" s="7" customFormat="1" ht="15.75">
      <c r="A96" s="24" t="s">
        <v>105</v>
      </c>
      <c r="B96" s="25" t="s">
        <v>107</v>
      </c>
      <c r="C96" s="44">
        <v>8502578</v>
      </c>
      <c r="D96" s="44">
        <v>8502578</v>
      </c>
      <c r="E96" s="44">
        <f>F96-1746</f>
        <v>0</v>
      </c>
      <c r="F96" s="44">
        <v>1746</v>
      </c>
      <c r="G96" s="46">
        <f t="shared" si="9"/>
        <v>8.268342377715839E-06</v>
      </c>
      <c r="H96" s="44">
        <f t="shared" si="2"/>
        <v>8500832</v>
      </c>
      <c r="I96" s="44">
        <f>J96-0</f>
        <v>0</v>
      </c>
      <c r="J96" s="44">
        <v>0</v>
      </c>
      <c r="K96" s="46">
        <f t="shared" si="10"/>
        <v>0</v>
      </c>
      <c r="L96" s="47">
        <f t="shared" si="3"/>
        <v>8502578</v>
      </c>
      <c r="M96" s="8"/>
    </row>
    <row r="97" spans="1:13" s="7" customFormat="1" ht="15.75">
      <c r="A97" s="24" t="s">
        <v>106</v>
      </c>
      <c r="B97" s="25" t="s">
        <v>108</v>
      </c>
      <c r="C97" s="44">
        <v>1104855</v>
      </c>
      <c r="D97" s="44">
        <v>1042355</v>
      </c>
      <c r="E97" s="44">
        <f>F97-0</f>
        <v>0</v>
      </c>
      <c r="F97" s="44">
        <v>0</v>
      </c>
      <c r="G97" s="46">
        <f t="shared" si="9"/>
        <v>0</v>
      </c>
      <c r="H97" s="44">
        <f t="shared" si="2"/>
        <v>1042355</v>
      </c>
      <c r="I97" s="44">
        <f>J97-0</f>
        <v>0</v>
      </c>
      <c r="J97" s="44">
        <v>0</v>
      </c>
      <c r="K97" s="46">
        <f t="shared" si="10"/>
        <v>0</v>
      </c>
      <c r="L97" s="47">
        <f t="shared" si="3"/>
        <v>1042355</v>
      </c>
      <c r="M97" s="8"/>
    </row>
    <row r="98" spans="1:13" s="7" customFormat="1" ht="15.75">
      <c r="A98" s="35" t="s">
        <v>109</v>
      </c>
      <c r="B98" s="27" t="s">
        <v>110</v>
      </c>
      <c r="C98" s="41">
        <f>SUM(C99:C114)</f>
        <v>7061336184</v>
      </c>
      <c r="D98" s="41">
        <f>SUM(D99:D114)</f>
        <v>7143986406</v>
      </c>
      <c r="E98" s="41">
        <f>SUM(E99:E114)</f>
        <v>834433491</v>
      </c>
      <c r="F98" s="41">
        <f>SUM(F99:F114)</f>
        <v>1612658901</v>
      </c>
      <c r="G98" s="42">
        <f t="shared" si="9"/>
        <v>7.636893431809251</v>
      </c>
      <c r="H98" s="41">
        <f t="shared" si="2"/>
        <v>5531327505</v>
      </c>
      <c r="I98" s="41">
        <f>SUM(I99:I114)</f>
        <v>827925688</v>
      </c>
      <c r="J98" s="41">
        <f>SUM(J99:J114)</f>
        <v>1513336387</v>
      </c>
      <c r="K98" s="42">
        <f t="shared" si="10"/>
        <v>8.322312753338808</v>
      </c>
      <c r="L98" s="43">
        <f t="shared" si="3"/>
        <v>5630650019</v>
      </c>
      <c r="M98" s="8"/>
    </row>
    <row r="99" spans="1:13" s="7" customFormat="1" ht="15.75">
      <c r="A99" s="24" t="s">
        <v>28</v>
      </c>
      <c r="B99" s="25" t="s">
        <v>33</v>
      </c>
      <c r="C99" s="44">
        <v>2359971090</v>
      </c>
      <c r="D99" s="44">
        <v>2458884360</v>
      </c>
      <c r="E99" s="44">
        <f>F99-321054115</f>
        <v>292852147</v>
      </c>
      <c r="F99" s="44">
        <v>613906262</v>
      </c>
      <c r="G99" s="46">
        <f t="shared" si="9"/>
        <v>2.907209142061697</v>
      </c>
      <c r="H99" s="44">
        <f t="shared" si="2"/>
        <v>1844978098</v>
      </c>
      <c r="I99" s="44">
        <f>J99-269526179</f>
        <v>295261952</v>
      </c>
      <c r="J99" s="44">
        <v>564788131</v>
      </c>
      <c r="K99" s="46">
        <f t="shared" si="10"/>
        <v>3.105947564555381</v>
      </c>
      <c r="L99" s="47">
        <f t="shared" si="3"/>
        <v>1894096229</v>
      </c>
      <c r="M99" s="8"/>
    </row>
    <row r="100" spans="1:13" s="7" customFormat="1" ht="15.75">
      <c r="A100" s="24" t="s">
        <v>29</v>
      </c>
      <c r="B100" s="25" t="s">
        <v>34</v>
      </c>
      <c r="C100" s="44">
        <v>1345000</v>
      </c>
      <c r="D100" s="44">
        <v>1345000</v>
      </c>
      <c r="E100" s="44">
        <f>F100-0</f>
        <v>0</v>
      </c>
      <c r="F100" s="44">
        <v>0</v>
      </c>
      <c r="G100" s="46">
        <f t="shared" si="9"/>
        <v>0</v>
      </c>
      <c r="H100" s="44">
        <f t="shared" si="2"/>
        <v>1345000</v>
      </c>
      <c r="I100" s="44">
        <f>J100-0</f>
        <v>0</v>
      </c>
      <c r="J100" s="44">
        <v>0</v>
      </c>
      <c r="K100" s="46">
        <f t="shared" si="10"/>
        <v>0</v>
      </c>
      <c r="L100" s="47">
        <f t="shared" si="3"/>
        <v>1345000</v>
      </c>
      <c r="M100" s="8"/>
    </row>
    <row r="101" spans="1:13" s="7" customFormat="1" ht="15.75">
      <c r="A101" s="24" t="s">
        <v>82</v>
      </c>
      <c r="B101" s="25" t="s">
        <v>84</v>
      </c>
      <c r="C101" s="44">
        <v>220851012</v>
      </c>
      <c r="D101" s="44">
        <v>298486875</v>
      </c>
      <c r="E101" s="44">
        <f>F101-9523341</f>
        <v>15402785</v>
      </c>
      <c r="F101" s="44">
        <v>24926126</v>
      </c>
      <c r="G101" s="46">
        <f t="shared" si="9"/>
        <v>0.1180399449702661</v>
      </c>
      <c r="H101" s="44">
        <f t="shared" si="2"/>
        <v>273560749</v>
      </c>
      <c r="I101" s="44">
        <f>J101-1978722</f>
        <v>17097154</v>
      </c>
      <c r="J101" s="44">
        <v>19075876</v>
      </c>
      <c r="K101" s="46">
        <f t="shared" si="10"/>
        <v>0.10490424170043411</v>
      </c>
      <c r="L101" s="47">
        <f t="shared" si="3"/>
        <v>279410999</v>
      </c>
      <c r="M101" s="8"/>
    </row>
    <row r="102" spans="1:13" s="7" customFormat="1" ht="15.75">
      <c r="A102" s="24" t="s">
        <v>67</v>
      </c>
      <c r="B102" s="25" t="s">
        <v>75</v>
      </c>
      <c r="C102" s="44">
        <v>98100000</v>
      </c>
      <c r="D102" s="44">
        <v>98100000</v>
      </c>
      <c r="E102" s="44">
        <f>F102-9912663</f>
        <v>6363940</v>
      </c>
      <c r="F102" s="44">
        <v>16276603</v>
      </c>
      <c r="G102" s="46">
        <f t="shared" si="9"/>
        <v>0.07707933926125816</v>
      </c>
      <c r="H102" s="44">
        <f t="shared" si="2"/>
        <v>81823397</v>
      </c>
      <c r="I102" s="44">
        <f>J102-239174</f>
        <v>6544648</v>
      </c>
      <c r="J102" s="44">
        <v>6783822</v>
      </c>
      <c r="K102" s="46">
        <f t="shared" si="10"/>
        <v>0.03730637076592039</v>
      </c>
      <c r="L102" s="47">
        <f t="shared" si="3"/>
        <v>91316178</v>
      </c>
      <c r="M102" s="8"/>
    </row>
    <row r="103" spans="1:13" s="7" customFormat="1" ht="15.75">
      <c r="A103" s="24" t="s">
        <v>68</v>
      </c>
      <c r="B103" s="25" t="s">
        <v>76</v>
      </c>
      <c r="C103" s="44">
        <v>302501826</v>
      </c>
      <c r="D103" s="44">
        <v>302501826</v>
      </c>
      <c r="E103" s="44">
        <f>F103-10182286</f>
        <v>54522984</v>
      </c>
      <c r="F103" s="44">
        <v>64705270</v>
      </c>
      <c r="G103" s="46">
        <f t="shared" si="9"/>
        <v>0.30641771248713934</v>
      </c>
      <c r="H103" s="44">
        <f t="shared" si="2"/>
        <v>237796556</v>
      </c>
      <c r="I103" s="44">
        <f>J103-0</f>
        <v>42769156</v>
      </c>
      <c r="J103" s="44">
        <v>42769156</v>
      </c>
      <c r="K103" s="46">
        <f t="shared" si="10"/>
        <v>0.23520104022208846</v>
      </c>
      <c r="L103" s="47">
        <f t="shared" si="3"/>
        <v>259732670</v>
      </c>
      <c r="M103" s="8"/>
    </row>
    <row r="104" spans="1:13" s="7" customFormat="1" ht="15.75">
      <c r="A104" s="24" t="s">
        <v>111</v>
      </c>
      <c r="B104" s="25" t="s">
        <v>118</v>
      </c>
      <c r="C104" s="44">
        <v>719024581</v>
      </c>
      <c r="D104" s="44">
        <v>741212134</v>
      </c>
      <c r="E104" s="44">
        <f>F104-57542100</f>
        <v>89463974</v>
      </c>
      <c r="F104" s="44">
        <v>147006074</v>
      </c>
      <c r="G104" s="46">
        <f t="shared" si="9"/>
        <v>0.6961606823802008</v>
      </c>
      <c r="H104" s="44">
        <f t="shared" si="2"/>
        <v>594206060</v>
      </c>
      <c r="I104" s="44">
        <f>J104-57542100</f>
        <v>89463974</v>
      </c>
      <c r="J104" s="44">
        <v>147006074</v>
      </c>
      <c r="K104" s="46">
        <f t="shared" si="10"/>
        <v>0.8084326359810634</v>
      </c>
      <c r="L104" s="47">
        <f t="shared" si="3"/>
        <v>594206060</v>
      </c>
      <c r="M104" s="8"/>
    </row>
    <row r="105" spans="1:13" s="7" customFormat="1" ht="15.75">
      <c r="A105" s="24" t="s">
        <v>112</v>
      </c>
      <c r="B105" s="25" t="s">
        <v>119</v>
      </c>
      <c r="C105" s="44">
        <v>2482460129</v>
      </c>
      <c r="D105" s="44">
        <v>2364687968</v>
      </c>
      <c r="E105" s="44">
        <f>F105-317387782</f>
        <v>327312959</v>
      </c>
      <c r="F105" s="44">
        <v>644700741</v>
      </c>
      <c r="G105" s="46">
        <f t="shared" si="9"/>
        <v>3.053039208336256</v>
      </c>
      <c r="H105" s="44">
        <f t="shared" si="2"/>
        <v>1719987227</v>
      </c>
      <c r="I105" s="44">
        <f>J105-317199482</f>
        <v>325873582</v>
      </c>
      <c r="J105" s="44">
        <v>643073064</v>
      </c>
      <c r="K105" s="46">
        <f t="shared" si="10"/>
        <v>3.536461032609708</v>
      </c>
      <c r="L105" s="47">
        <f t="shared" si="3"/>
        <v>1721614904</v>
      </c>
      <c r="M105" s="8"/>
    </row>
    <row r="106" spans="1:13" s="7" customFormat="1" ht="15.75">
      <c r="A106" s="24" t="s">
        <v>113</v>
      </c>
      <c r="B106" s="25" t="s">
        <v>120</v>
      </c>
      <c r="C106" s="44">
        <v>111637438</v>
      </c>
      <c r="D106" s="44">
        <v>111626688</v>
      </c>
      <c r="E106" s="44">
        <f>F106-433504</f>
        <v>1107987</v>
      </c>
      <c r="F106" s="44">
        <v>1541491</v>
      </c>
      <c r="G106" s="46">
        <f t="shared" si="9"/>
        <v>0.007299871340302157</v>
      </c>
      <c r="H106" s="44">
        <f t="shared" si="2"/>
        <v>110085197</v>
      </c>
      <c r="I106" s="44">
        <f>J106-22280</f>
        <v>1247511</v>
      </c>
      <c r="J106" s="44">
        <v>1269791</v>
      </c>
      <c r="K106" s="46">
        <f t="shared" si="10"/>
        <v>0.0069829800724766685</v>
      </c>
      <c r="L106" s="47">
        <f t="shared" si="3"/>
        <v>110356897</v>
      </c>
      <c r="M106" s="8"/>
    </row>
    <row r="107" spans="1:13" s="7" customFormat="1" ht="15.75">
      <c r="A107" s="24" t="s">
        <v>114</v>
      </c>
      <c r="B107" s="25" t="s">
        <v>121</v>
      </c>
      <c r="C107" s="44">
        <v>481624146</v>
      </c>
      <c r="D107" s="44">
        <v>481624146</v>
      </c>
      <c r="E107" s="44">
        <f>F107-28676600</f>
        <v>22321908</v>
      </c>
      <c r="F107" s="44">
        <v>50998508</v>
      </c>
      <c r="G107" s="46">
        <f t="shared" si="9"/>
        <v>0.2415080898606416</v>
      </c>
      <c r="H107" s="44">
        <f t="shared" si="2"/>
        <v>430625638</v>
      </c>
      <c r="I107" s="44">
        <f>J107-18621427</f>
        <v>26789583</v>
      </c>
      <c r="J107" s="44">
        <v>45411010</v>
      </c>
      <c r="K107" s="46">
        <f t="shared" si="10"/>
        <v>0.24972942626073005</v>
      </c>
      <c r="L107" s="47">
        <f t="shared" si="3"/>
        <v>436213136</v>
      </c>
      <c r="M107" s="8"/>
    </row>
    <row r="108" spans="1:13" s="7" customFormat="1" ht="15.75">
      <c r="A108" s="24" t="s">
        <v>115</v>
      </c>
      <c r="B108" s="25" t="s">
        <v>122</v>
      </c>
      <c r="C108" s="44">
        <v>18942900</v>
      </c>
      <c r="D108" s="44">
        <v>18942900</v>
      </c>
      <c r="E108" s="44">
        <f>F108-1708144</f>
        <v>3219248</v>
      </c>
      <c r="F108" s="44">
        <v>4927392</v>
      </c>
      <c r="G108" s="46">
        <f t="shared" si="9"/>
        <v>0.02333411459634479</v>
      </c>
      <c r="H108" s="44">
        <f t="shared" si="2"/>
        <v>14015508</v>
      </c>
      <c r="I108" s="44">
        <f>J108-131786</f>
        <v>3611448</v>
      </c>
      <c r="J108" s="44">
        <v>3743234</v>
      </c>
      <c r="K108" s="46">
        <f t="shared" si="10"/>
        <v>0.020585221054974505</v>
      </c>
      <c r="L108" s="47">
        <f t="shared" si="3"/>
        <v>15199666</v>
      </c>
      <c r="M108" s="8"/>
    </row>
    <row r="109" spans="1:13" s="7" customFormat="1" ht="15.75">
      <c r="A109" s="24" t="s">
        <v>116</v>
      </c>
      <c r="B109" s="25" t="s">
        <v>123</v>
      </c>
      <c r="C109" s="44">
        <v>63151105</v>
      </c>
      <c r="D109" s="44">
        <v>64847552</v>
      </c>
      <c r="E109" s="44">
        <f>F109-1643280</f>
        <v>3644235</v>
      </c>
      <c r="F109" s="44">
        <v>5287515</v>
      </c>
      <c r="G109" s="46">
        <f t="shared" si="9"/>
        <v>0.025039509935457137</v>
      </c>
      <c r="H109" s="44">
        <f t="shared" si="2"/>
        <v>59560037</v>
      </c>
      <c r="I109" s="44">
        <f>J109-0</f>
        <v>1042711</v>
      </c>
      <c r="J109" s="44">
        <v>1042711</v>
      </c>
      <c r="K109" s="46">
        <f t="shared" si="10"/>
        <v>0.0057341957332759635</v>
      </c>
      <c r="L109" s="47">
        <f t="shared" si="3"/>
        <v>63804841</v>
      </c>
      <c r="M109" s="8"/>
    </row>
    <row r="110" spans="1:13" s="7" customFormat="1" ht="15.75">
      <c r="A110" s="24" t="s">
        <v>252</v>
      </c>
      <c r="B110" s="25" t="s">
        <v>253</v>
      </c>
      <c r="C110" s="44">
        <v>9855000</v>
      </c>
      <c r="D110" s="44">
        <v>9855000</v>
      </c>
      <c r="E110" s="44">
        <f>F110-0</f>
        <v>0</v>
      </c>
      <c r="F110" s="44">
        <v>0</v>
      </c>
      <c r="G110" s="46">
        <f t="shared" si="9"/>
        <v>0</v>
      </c>
      <c r="H110" s="44">
        <f t="shared" si="2"/>
        <v>9855000</v>
      </c>
      <c r="I110" s="44">
        <f>J110-0</f>
        <v>0</v>
      </c>
      <c r="J110" s="44">
        <v>0</v>
      </c>
      <c r="K110" s="46">
        <f t="shared" si="10"/>
        <v>0</v>
      </c>
      <c r="L110" s="47">
        <f t="shared" si="3"/>
        <v>9855000</v>
      </c>
      <c r="M110" s="8"/>
    </row>
    <row r="111" spans="1:13" s="7" customFormat="1" ht="15.75">
      <c r="A111" s="24" t="s">
        <v>117</v>
      </c>
      <c r="B111" s="25" t="s">
        <v>124</v>
      </c>
      <c r="C111" s="44">
        <v>11095000</v>
      </c>
      <c r="D111" s="44">
        <v>11095000</v>
      </c>
      <c r="E111" s="44">
        <f>F111-12215</f>
        <v>15493</v>
      </c>
      <c r="F111" s="44">
        <v>27708</v>
      </c>
      <c r="G111" s="46">
        <f t="shared" si="9"/>
        <v>0.0001312137632312431</v>
      </c>
      <c r="H111" s="44">
        <f t="shared" si="2"/>
        <v>11067292</v>
      </c>
      <c r="I111" s="44">
        <f>J111-219</f>
        <v>18158</v>
      </c>
      <c r="J111" s="44">
        <v>18377</v>
      </c>
      <c r="K111" s="46">
        <f t="shared" si="10"/>
        <v>0.00010106090277211268</v>
      </c>
      <c r="L111" s="47">
        <f t="shared" si="3"/>
        <v>11076623</v>
      </c>
      <c r="M111" s="8"/>
    </row>
    <row r="112" spans="1:13" s="7" customFormat="1" ht="15.75">
      <c r="A112" s="24" t="s">
        <v>153</v>
      </c>
      <c r="B112" s="25" t="s">
        <v>154</v>
      </c>
      <c r="C112" s="44">
        <v>0</v>
      </c>
      <c r="D112" s="44">
        <v>0</v>
      </c>
      <c r="E112" s="44">
        <f>F112-0</f>
        <v>0</v>
      </c>
      <c r="F112" s="44">
        <v>0</v>
      </c>
      <c r="G112" s="46">
        <f aca="true" t="shared" si="11" ref="G112:G127">(F112/$F$244)*100</f>
        <v>0</v>
      </c>
      <c r="H112" s="44">
        <f t="shared" si="2"/>
        <v>0</v>
      </c>
      <c r="I112" s="44">
        <f>J112-0</f>
        <v>0</v>
      </c>
      <c r="J112" s="44">
        <v>0</v>
      </c>
      <c r="K112" s="46">
        <f aca="true" t="shared" si="12" ref="K112:K127">(J112/$J$244)*100</f>
        <v>0</v>
      </c>
      <c r="L112" s="47">
        <f t="shared" si="3"/>
        <v>0</v>
      </c>
      <c r="M112" s="8"/>
    </row>
    <row r="113" spans="1:13" s="7" customFormat="1" ht="15.75">
      <c r="A113" s="24" t="s">
        <v>96</v>
      </c>
      <c r="B113" s="25" t="s">
        <v>102</v>
      </c>
      <c r="C113" s="44">
        <v>0</v>
      </c>
      <c r="D113" s="44">
        <v>0</v>
      </c>
      <c r="E113" s="44">
        <f>F113-0</f>
        <v>0</v>
      </c>
      <c r="F113" s="44">
        <v>0</v>
      </c>
      <c r="G113" s="46">
        <f t="shared" si="11"/>
        <v>0</v>
      </c>
      <c r="H113" s="44">
        <f t="shared" si="2"/>
        <v>0</v>
      </c>
      <c r="I113" s="44">
        <f>J113-0</f>
        <v>0</v>
      </c>
      <c r="J113" s="44">
        <v>0</v>
      </c>
      <c r="K113" s="46">
        <f t="shared" si="12"/>
        <v>0</v>
      </c>
      <c r="L113" s="47">
        <f t="shared" si="3"/>
        <v>0</v>
      </c>
      <c r="M113" s="8"/>
    </row>
    <row r="114" spans="1:13" s="7" customFormat="1" ht="15.75">
      <c r="A114" s="24" t="s">
        <v>97</v>
      </c>
      <c r="B114" s="25" t="s">
        <v>241</v>
      </c>
      <c r="C114" s="44">
        <v>180776957</v>
      </c>
      <c r="D114" s="44">
        <v>180776957</v>
      </c>
      <c r="E114" s="44">
        <f>F114-20149380</f>
        <v>18205831</v>
      </c>
      <c r="F114" s="44">
        <v>38355211</v>
      </c>
      <c r="G114" s="46">
        <f t="shared" si="11"/>
        <v>0.1816346028164563</v>
      </c>
      <c r="H114" s="44">
        <f>D114-F114</f>
        <v>142421746</v>
      </c>
      <c r="I114" s="44">
        <f>J114-20149330</f>
        <v>18205811</v>
      </c>
      <c r="J114" s="44">
        <v>38355141</v>
      </c>
      <c r="K114" s="46">
        <f t="shared" si="12"/>
        <v>0.21092698347998437</v>
      </c>
      <c r="L114" s="47">
        <f>D114-J114</f>
        <v>142421816</v>
      </c>
      <c r="M114" s="8"/>
    </row>
    <row r="115" spans="1:13" s="7" customFormat="1" ht="15.75">
      <c r="A115" s="35" t="s">
        <v>125</v>
      </c>
      <c r="B115" s="27" t="s">
        <v>126</v>
      </c>
      <c r="C115" s="41">
        <f>SUM(C116:C119)</f>
        <v>247516580</v>
      </c>
      <c r="D115" s="41">
        <f>SUM(D116:D119)</f>
        <v>241630740</v>
      </c>
      <c r="E115" s="41">
        <f>SUM(E116:E119)</f>
        <v>13846748</v>
      </c>
      <c r="F115" s="41">
        <f>SUM(F116:F119)</f>
        <v>26649640</v>
      </c>
      <c r="G115" s="42">
        <f t="shared" si="11"/>
        <v>0.12620180284242333</v>
      </c>
      <c r="H115" s="41">
        <f t="shared" si="2"/>
        <v>214981100</v>
      </c>
      <c r="I115" s="41">
        <f>SUM(I116:I119)</f>
        <v>13077961</v>
      </c>
      <c r="J115" s="41">
        <f>SUM(J116:J119)</f>
        <v>24242038</v>
      </c>
      <c r="K115" s="42">
        <f t="shared" si="12"/>
        <v>0.13331459135418516</v>
      </c>
      <c r="L115" s="43">
        <f t="shared" si="3"/>
        <v>217388702</v>
      </c>
      <c r="M115" s="8"/>
    </row>
    <row r="116" spans="1:13" s="7" customFormat="1" ht="15.75">
      <c r="A116" s="24" t="s">
        <v>28</v>
      </c>
      <c r="B116" s="25" t="s">
        <v>33</v>
      </c>
      <c r="C116" s="44">
        <v>129295822</v>
      </c>
      <c r="D116" s="44">
        <v>127848969</v>
      </c>
      <c r="E116" s="44">
        <f>F116-12801470</f>
        <v>12909519</v>
      </c>
      <c r="F116" s="44">
        <v>25710989</v>
      </c>
      <c r="G116" s="46">
        <f t="shared" si="11"/>
        <v>0.1217567353503355</v>
      </c>
      <c r="H116" s="44">
        <f t="shared" si="2"/>
        <v>102137980</v>
      </c>
      <c r="I116" s="44">
        <f>J116-11164042</f>
        <v>13064455</v>
      </c>
      <c r="J116" s="44">
        <v>24228497</v>
      </c>
      <c r="K116" s="46">
        <f t="shared" si="12"/>
        <v>0.13324012513638916</v>
      </c>
      <c r="L116" s="47">
        <f t="shared" si="3"/>
        <v>103620472</v>
      </c>
      <c r="M116" s="8"/>
    </row>
    <row r="117" spans="1:13" s="7" customFormat="1" ht="15.75">
      <c r="A117" s="24" t="s">
        <v>127</v>
      </c>
      <c r="B117" s="25" t="s">
        <v>128</v>
      </c>
      <c r="C117" s="44">
        <v>865000</v>
      </c>
      <c r="D117" s="44">
        <v>865000</v>
      </c>
      <c r="E117" s="44">
        <f>F117-952</f>
        <v>543</v>
      </c>
      <c r="F117" s="44">
        <v>1495</v>
      </c>
      <c r="G117" s="46">
        <f t="shared" si="11"/>
        <v>7.079708966028166E-06</v>
      </c>
      <c r="H117" s="44">
        <f t="shared" si="2"/>
        <v>863505</v>
      </c>
      <c r="I117" s="44">
        <f>J117-35</f>
        <v>587</v>
      </c>
      <c r="J117" s="44">
        <v>622</v>
      </c>
      <c r="K117" s="46">
        <f t="shared" si="12"/>
        <v>3.4205736259593015E-06</v>
      </c>
      <c r="L117" s="47">
        <f t="shared" si="3"/>
        <v>864378</v>
      </c>
      <c r="M117" s="8"/>
    </row>
    <row r="118" spans="1:13" s="7" customFormat="1" ht="15.75">
      <c r="A118" s="24" t="s">
        <v>117</v>
      </c>
      <c r="B118" s="25" t="s">
        <v>124</v>
      </c>
      <c r="C118" s="44">
        <v>100921832</v>
      </c>
      <c r="D118" s="44">
        <v>102366815</v>
      </c>
      <c r="E118" s="44">
        <f>F118-470</f>
        <v>929107</v>
      </c>
      <c r="F118" s="44">
        <v>929577</v>
      </c>
      <c r="G118" s="46">
        <f t="shared" si="11"/>
        <v>0.004402096736798372</v>
      </c>
      <c r="H118" s="44">
        <f t="shared" si="2"/>
        <v>101437238</v>
      </c>
      <c r="I118" s="44">
        <f>J118-0</f>
        <v>5340</v>
      </c>
      <c r="J118" s="44">
        <v>5340</v>
      </c>
      <c r="K118" s="46">
        <f t="shared" si="12"/>
        <v>2.936633948974706E-05</v>
      </c>
      <c r="L118" s="47">
        <f>D118-J118</f>
        <v>102361475</v>
      </c>
      <c r="M118" s="8"/>
    </row>
    <row r="119" spans="1:13" s="7" customFormat="1" ht="15.75">
      <c r="A119" s="24" t="s">
        <v>185</v>
      </c>
      <c r="B119" s="25" t="s">
        <v>186</v>
      </c>
      <c r="C119" s="44">
        <v>16433926</v>
      </c>
      <c r="D119" s="44">
        <v>10549956</v>
      </c>
      <c r="E119" s="44">
        <f>F119-0</f>
        <v>7579</v>
      </c>
      <c r="F119" s="44">
        <v>7579</v>
      </c>
      <c r="G119" s="46">
        <f t="shared" si="11"/>
        <v>3.589104632342975E-05</v>
      </c>
      <c r="H119" s="44">
        <f t="shared" si="2"/>
        <v>10542377</v>
      </c>
      <c r="I119" s="44">
        <f>J119-0</f>
        <v>7579</v>
      </c>
      <c r="J119" s="44">
        <v>7579</v>
      </c>
      <c r="K119" s="46">
        <f t="shared" si="12"/>
        <v>4.16793046802983E-05</v>
      </c>
      <c r="L119" s="47">
        <f t="shared" si="3"/>
        <v>10542377</v>
      </c>
      <c r="M119" s="8"/>
    </row>
    <row r="120" spans="1:13" s="7" customFormat="1" ht="15.75">
      <c r="A120" s="35" t="s">
        <v>129</v>
      </c>
      <c r="B120" s="27" t="s">
        <v>130</v>
      </c>
      <c r="C120" s="41">
        <f>SUM(C121:C127)</f>
        <v>48507745</v>
      </c>
      <c r="D120" s="41">
        <f>SUM(D121:D127)</f>
        <v>79908943</v>
      </c>
      <c r="E120" s="41">
        <f>SUM(E121:E127)</f>
        <v>14566783</v>
      </c>
      <c r="F120" s="41">
        <f>SUM(F121:F127)</f>
        <v>23808532</v>
      </c>
      <c r="G120" s="42">
        <f t="shared" si="11"/>
        <v>0.11274747656747058</v>
      </c>
      <c r="H120" s="41">
        <f t="shared" si="2"/>
        <v>56100411</v>
      </c>
      <c r="I120" s="41">
        <f>SUM(I121:I127)</f>
        <v>14556072</v>
      </c>
      <c r="J120" s="41">
        <f>SUM(J121:J127)</f>
        <v>22772723</v>
      </c>
      <c r="K120" s="42">
        <f t="shared" si="12"/>
        <v>0.12523436605317811</v>
      </c>
      <c r="L120" s="43">
        <f t="shared" si="3"/>
        <v>57136220</v>
      </c>
      <c r="M120" s="8"/>
    </row>
    <row r="121" spans="1:13" s="7" customFormat="1" ht="15.75">
      <c r="A121" s="24" t="s">
        <v>28</v>
      </c>
      <c r="B121" s="25" t="s">
        <v>33</v>
      </c>
      <c r="C121" s="44">
        <v>21451400</v>
      </c>
      <c r="D121" s="44">
        <v>39018007</v>
      </c>
      <c r="E121" s="44">
        <f>F121-3898270</f>
        <v>4743389</v>
      </c>
      <c r="F121" s="44">
        <v>8641659</v>
      </c>
      <c r="G121" s="46">
        <f t="shared" si="11"/>
        <v>0.04092336501916923</v>
      </c>
      <c r="H121" s="44">
        <f t="shared" si="2"/>
        <v>30376348</v>
      </c>
      <c r="I121" s="44">
        <f>J121-3862314</f>
        <v>4493326</v>
      </c>
      <c r="J121" s="44">
        <v>8355640</v>
      </c>
      <c r="K121" s="46">
        <f t="shared" si="12"/>
        <v>0.04595029230226781</v>
      </c>
      <c r="L121" s="47">
        <f t="shared" si="3"/>
        <v>30662367</v>
      </c>
      <c r="M121" s="8"/>
    </row>
    <row r="122" spans="1:13" s="7" customFormat="1" ht="15.75">
      <c r="A122" s="24" t="s">
        <v>49</v>
      </c>
      <c r="B122" s="25" t="s">
        <v>56</v>
      </c>
      <c r="C122" s="44">
        <v>12764827</v>
      </c>
      <c r="D122" s="44">
        <v>26599418</v>
      </c>
      <c r="E122" s="44">
        <f>F122-5343479</f>
        <v>9523185</v>
      </c>
      <c r="F122" s="44">
        <v>14866664</v>
      </c>
      <c r="G122" s="46">
        <f t="shared" si="11"/>
        <v>0.07040244442523623</v>
      </c>
      <c r="H122" s="44">
        <f t="shared" si="2"/>
        <v>11732754</v>
      </c>
      <c r="I122" s="44">
        <f>J122-4354337</f>
        <v>9762537</v>
      </c>
      <c r="J122" s="44">
        <v>14116874</v>
      </c>
      <c r="K122" s="46">
        <f t="shared" si="12"/>
        <v>0.07763313004082088</v>
      </c>
      <c r="L122" s="47">
        <f>D122-J122</f>
        <v>12482544</v>
      </c>
      <c r="M122" s="8"/>
    </row>
    <row r="123" spans="1:13" s="7" customFormat="1" ht="15.75">
      <c r="A123" s="24" t="s">
        <v>52</v>
      </c>
      <c r="B123" s="25" t="s">
        <v>59</v>
      </c>
      <c r="C123" s="44">
        <v>190000</v>
      </c>
      <c r="D123" s="44">
        <v>190000</v>
      </c>
      <c r="E123" s="44">
        <f>F123-0</f>
        <v>0</v>
      </c>
      <c r="F123" s="44">
        <v>0</v>
      </c>
      <c r="G123" s="46">
        <f t="shared" si="11"/>
        <v>0</v>
      </c>
      <c r="H123" s="44">
        <f>D123-F123</f>
        <v>190000</v>
      </c>
      <c r="I123" s="44">
        <f>J123-0</f>
        <v>0</v>
      </c>
      <c r="J123" s="44">
        <v>0</v>
      </c>
      <c r="K123" s="46">
        <f t="shared" si="12"/>
        <v>0</v>
      </c>
      <c r="L123" s="47">
        <f>D123-J123</f>
        <v>190000</v>
      </c>
      <c r="M123" s="8"/>
    </row>
    <row r="124" spans="1:13" s="7" customFormat="1" ht="15.75">
      <c r="A124" s="24" t="s">
        <v>131</v>
      </c>
      <c r="B124" s="25" t="s">
        <v>132</v>
      </c>
      <c r="C124" s="44">
        <v>110000</v>
      </c>
      <c r="D124" s="44">
        <v>110000</v>
      </c>
      <c r="E124" s="44">
        <f>F124-0</f>
        <v>0</v>
      </c>
      <c r="F124" s="44">
        <v>0</v>
      </c>
      <c r="G124" s="46">
        <f t="shared" si="11"/>
        <v>0</v>
      </c>
      <c r="H124" s="44">
        <f>D124-F124</f>
        <v>110000</v>
      </c>
      <c r="I124" s="44">
        <f>J124-0</f>
        <v>0</v>
      </c>
      <c r="J124" s="44">
        <v>0</v>
      </c>
      <c r="K124" s="46">
        <f t="shared" si="12"/>
        <v>0</v>
      </c>
      <c r="L124" s="47">
        <f>D124-J124</f>
        <v>110000</v>
      </c>
      <c r="M124" s="8"/>
    </row>
    <row r="125" spans="1:13" s="7" customFormat="1" ht="15.75">
      <c r="A125" s="24" t="s">
        <v>92</v>
      </c>
      <c r="B125" s="25" t="s">
        <v>98</v>
      </c>
      <c r="C125" s="44">
        <v>0</v>
      </c>
      <c r="D125" s="44">
        <v>0</v>
      </c>
      <c r="E125" s="44">
        <f>F125-0</f>
        <v>0</v>
      </c>
      <c r="F125" s="44">
        <v>0</v>
      </c>
      <c r="G125" s="46">
        <f t="shared" si="11"/>
        <v>0</v>
      </c>
      <c r="H125" s="44">
        <f>D125-F125</f>
        <v>0</v>
      </c>
      <c r="I125" s="44">
        <f>J125-0</f>
        <v>0</v>
      </c>
      <c r="J125" s="44">
        <v>0</v>
      </c>
      <c r="K125" s="46">
        <f t="shared" si="12"/>
        <v>0</v>
      </c>
      <c r="L125" s="47">
        <f>D125-J125</f>
        <v>0</v>
      </c>
      <c r="M125" s="8"/>
    </row>
    <row r="126" spans="1:13" s="7" customFormat="1" ht="15.75">
      <c r="A126" s="24" t="s">
        <v>252</v>
      </c>
      <c r="B126" s="25" t="s">
        <v>253</v>
      </c>
      <c r="C126" s="44">
        <v>5000</v>
      </c>
      <c r="D126" s="44">
        <v>5000</v>
      </c>
      <c r="E126" s="44">
        <f>F126-0</f>
        <v>0</v>
      </c>
      <c r="F126" s="44">
        <v>0</v>
      </c>
      <c r="G126" s="46">
        <f t="shared" si="11"/>
        <v>0</v>
      </c>
      <c r="H126" s="44">
        <f>D126-F126</f>
        <v>5000</v>
      </c>
      <c r="I126" s="44">
        <f>J126-0</f>
        <v>0</v>
      </c>
      <c r="J126" s="44">
        <v>0</v>
      </c>
      <c r="K126" s="46">
        <f t="shared" si="12"/>
        <v>0</v>
      </c>
      <c r="L126" s="47">
        <f>D126-J126</f>
        <v>5000</v>
      </c>
      <c r="M126" s="8"/>
    </row>
    <row r="127" spans="1:13" s="7" customFormat="1" ht="15.75">
      <c r="A127" s="48" t="s">
        <v>53</v>
      </c>
      <c r="B127" s="49" t="s">
        <v>60</v>
      </c>
      <c r="C127" s="50">
        <v>13986518</v>
      </c>
      <c r="D127" s="50">
        <v>13986518</v>
      </c>
      <c r="E127" s="50">
        <f>F127-0</f>
        <v>300209</v>
      </c>
      <c r="F127" s="50">
        <v>300209</v>
      </c>
      <c r="G127" s="51">
        <f t="shared" si="11"/>
        <v>0.001421667123065117</v>
      </c>
      <c r="H127" s="50">
        <f t="shared" si="2"/>
        <v>13686309</v>
      </c>
      <c r="I127" s="50">
        <f>J127-0</f>
        <v>300209</v>
      </c>
      <c r="J127" s="50">
        <v>300209</v>
      </c>
      <c r="K127" s="51">
        <f t="shared" si="12"/>
        <v>0.0016509437100894146</v>
      </c>
      <c r="L127" s="52">
        <f t="shared" si="3"/>
        <v>13686309</v>
      </c>
      <c r="M127" s="8"/>
    </row>
    <row r="128" spans="1:13" s="7" customFormat="1" ht="15.75">
      <c r="A128" s="53"/>
      <c r="B128" s="32"/>
      <c r="C128" s="54"/>
      <c r="D128" s="54"/>
      <c r="E128" s="54"/>
      <c r="F128" s="54"/>
      <c r="G128" s="55"/>
      <c r="H128" s="54"/>
      <c r="I128" s="54"/>
      <c r="J128" s="54"/>
      <c r="K128" s="55"/>
      <c r="L128" s="56" t="s">
        <v>228</v>
      </c>
      <c r="M128" s="8"/>
    </row>
    <row r="129" spans="1:13" s="7" customFormat="1" ht="15.75">
      <c r="A129" s="53"/>
      <c r="B129" s="32"/>
      <c r="C129" s="54"/>
      <c r="D129" s="54"/>
      <c r="E129" s="54"/>
      <c r="F129" s="54"/>
      <c r="G129" s="55"/>
      <c r="H129" s="54"/>
      <c r="I129" s="54"/>
      <c r="J129" s="54"/>
      <c r="K129" s="55"/>
      <c r="L129" s="54"/>
      <c r="M129" s="8"/>
    </row>
    <row r="130" spans="1:13" s="7" customFormat="1" ht="15.75">
      <c r="A130" s="53"/>
      <c r="B130" s="32"/>
      <c r="C130" s="54"/>
      <c r="D130" s="54"/>
      <c r="E130" s="54"/>
      <c r="F130" s="54"/>
      <c r="G130" s="55"/>
      <c r="H130" s="54"/>
      <c r="I130" s="54"/>
      <c r="J130" s="54"/>
      <c r="K130" s="55"/>
      <c r="L130" s="54"/>
      <c r="M130" s="8"/>
    </row>
    <row r="131" spans="1:13" s="7" customFormat="1" ht="15.75">
      <c r="A131" s="53"/>
      <c r="B131" s="32"/>
      <c r="C131" s="54"/>
      <c r="D131" s="54"/>
      <c r="E131" s="54"/>
      <c r="F131" s="54"/>
      <c r="G131" s="55"/>
      <c r="H131" s="54"/>
      <c r="I131" s="54"/>
      <c r="J131" s="54"/>
      <c r="K131" s="55"/>
      <c r="L131" s="54"/>
      <c r="M131" s="8"/>
    </row>
    <row r="132" spans="1:13" s="7" customFormat="1" ht="15.75">
      <c r="A132" s="53"/>
      <c r="B132" s="32"/>
      <c r="C132" s="54"/>
      <c r="D132" s="54"/>
      <c r="E132" s="54"/>
      <c r="F132" s="54"/>
      <c r="G132" s="55"/>
      <c r="H132" s="54"/>
      <c r="I132" s="54"/>
      <c r="J132" s="54"/>
      <c r="K132" s="55"/>
      <c r="L132" s="54"/>
      <c r="M132" s="8"/>
    </row>
    <row r="133" spans="1:13" s="7" customFormat="1" ht="15.75">
      <c r="A133" s="53"/>
      <c r="B133" s="32"/>
      <c r="C133" s="54"/>
      <c r="D133" s="54"/>
      <c r="E133" s="54"/>
      <c r="F133" s="54"/>
      <c r="G133" s="55"/>
      <c r="H133" s="54"/>
      <c r="I133" s="54"/>
      <c r="J133" s="54"/>
      <c r="K133" s="55"/>
      <c r="L133" s="26" t="s">
        <v>157</v>
      </c>
      <c r="M133" s="8"/>
    </row>
    <row r="134" spans="1:13" s="7" customFormat="1" ht="15.75">
      <c r="A134" s="94" t="s">
        <v>14</v>
      </c>
      <c r="B134" s="94"/>
      <c r="C134" s="94"/>
      <c r="D134" s="94"/>
      <c r="E134" s="94"/>
      <c r="F134" s="94"/>
      <c r="G134" s="94"/>
      <c r="H134" s="94"/>
      <c r="I134" s="94"/>
      <c r="J134" s="94"/>
      <c r="K134" s="94"/>
      <c r="L134" s="94"/>
      <c r="M134" s="8"/>
    </row>
    <row r="135" spans="1:13" s="7" customFormat="1" ht="15.75">
      <c r="A135" s="94" t="s">
        <v>0</v>
      </c>
      <c r="B135" s="94"/>
      <c r="C135" s="94"/>
      <c r="D135" s="94"/>
      <c r="E135" s="94"/>
      <c r="F135" s="94"/>
      <c r="G135" s="94"/>
      <c r="H135" s="94"/>
      <c r="I135" s="94"/>
      <c r="J135" s="94"/>
      <c r="K135" s="94"/>
      <c r="L135" s="94"/>
      <c r="M135" s="8"/>
    </row>
    <row r="136" spans="1:13" s="7" customFormat="1" ht="15.75">
      <c r="A136" s="95" t="s">
        <v>1</v>
      </c>
      <c r="B136" s="95"/>
      <c r="C136" s="95"/>
      <c r="D136" s="95"/>
      <c r="E136" s="95"/>
      <c r="F136" s="95"/>
      <c r="G136" s="95"/>
      <c r="H136" s="95"/>
      <c r="I136" s="95"/>
      <c r="J136" s="95"/>
      <c r="K136" s="95"/>
      <c r="L136" s="95"/>
      <c r="M136" s="8"/>
    </row>
    <row r="137" spans="1:13" s="7" customFormat="1" ht="15.75">
      <c r="A137" s="94" t="s">
        <v>2</v>
      </c>
      <c r="B137" s="94"/>
      <c r="C137" s="94"/>
      <c r="D137" s="94"/>
      <c r="E137" s="94"/>
      <c r="F137" s="94"/>
      <c r="G137" s="94"/>
      <c r="H137" s="94"/>
      <c r="I137" s="94"/>
      <c r="J137" s="94"/>
      <c r="K137" s="94"/>
      <c r="L137" s="94"/>
      <c r="M137" s="8"/>
    </row>
    <row r="138" spans="1:13" s="7" customFormat="1" ht="15.75">
      <c r="A138" s="94" t="str">
        <f>A9</f>
        <v>JANEIRO A ABRIL 2019/BIMESTRE MARÇO-ABRIL</v>
      </c>
      <c r="B138" s="94"/>
      <c r="C138" s="94"/>
      <c r="D138" s="94"/>
      <c r="E138" s="94"/>
      <c r="F138" s="94"/>
      <c r="G138" s="94"/>
      <c r="H138" s="94"/>
      <c r="I138" s="94"/>
      <c r="J138" s="94"/>
      <c r="K138" s="94"/>
      <c r="L138" s="94"/>
      <c r="M138" s="8"/>
    </row>
    <row r="139" spans="1:13" s="7" customFormat="1" ht="15.75">
      <c r="A139" s="53"/>
      <c r="B139" s="32"/>
      <c r="C139" s="54"/>
      <c r="D139" s="54"/>
      <c r="E139" s="54"/>
      <c r="F139" s="54"/>
      <c r="G139" s="55"/>
      <c r="H139" s="54"/>
      <c r="I139" s="54"/>
      <c r="J139" s="54"/>
      <c r="K139" s="55"/>
      <c r="L139" s="54"/>
      <c r="M139" s="8"/>
    </row>
    <row r="140" spans="1:13" s="7" customFormat="1" ht="15.75">
      <c r="A140" s="24"/>
      <c r="B140" s="24"/>
      <c r="C140" s="24"/>
      <c r="D140" s="24"/>
      <c r="E140" s="24"/>
      <c r="F140" s="24"/>
      <c r="G140" s="24"/>
      <c r="H140" s="24"/>
      <c r="I140" s="24"/>
      <c r="J140" s="24"/>
      <c r="K140" s="24"/>
      <c r="L140" s="26" t="str">
        <f>L11</f>
        <v>Emissão: 20/05/2019</v>
      </c>
      <c r="M140" s="8"/>
    </row>
    <row r="141" spans="1:13" s="7" customFormat="1" ht="15.75">
      <c r="A141" s="31" t="s">
        <v>240</v>
      </c>
      <c r="B141" s="29"/>
      <c r="C141" s="32"/>
      <c r="D141" s="29"/>
      <c r="E141" s="29"/>
      <c r="F141" s="33"/>
      <c r="G141" s="33"/>
      <c r="H141" s="33"/>
      <c r="I141" s="29"/>
      <c r="J141" s="29"/>
      <c r="K141" s="26"/>
      <c r="L141" s="34">
        <v>1</v>
      </c>
      <c r="M141" s="8"/>
    </row>
    <row r="142" spans="1:13" s="7" customFormat="1" ht="15.75">
      <c r="A142" s="11"/>
      <c r="B142" s="12"/>
      <c r="C142" s="13" t="s">
        <v>3</v>
      </c>
      <c r="D142" s="13" t="s">
        <v>3</v>
      </c>
      <c r="E142" s="91" t="s">
        <v>4</v>
      </c>
      <c r="F142" s="92"/>
      <c r="G142" s="93"/>
      <c r="H142" s="13" t="s">
        <v>18</v>
      </c>
      <c r="I142" s="91" t="s">
        <v>5</v>
      </c>
      <c r="J142" s="92"/>
      <c r="K142" s="93"/>
      <c r="L142" s="14" t="s">
        <v>18</v>
      </c>
      <c r="M142" s="8"/>
    </row>
    <row r="143" spans="1:13" s="7" customFormat="1" ht="15.75">
      <c r="A143" s="15" t="s">
        <v>23</v>
      </c>
      <c r="B143" s="16" t="s">
        <v>6</v>
      </c>
      <c r="C143" s="16" t="s">
        <v>7</v>
      </c>
      <c r="D143" s="16" t="s">
        <v>8</v>
      </c>
      <c r="E143" s="16" t="s">
        <v>9</v>
      </c>
      <c r="F143" s="16" t="s">
        <v>10</v>
      </c>
      <c r="G143" s="16" t="s">
        <v>11</v>
      </c>
      <c r="H143" s="17"/>
      <c r="I143" s="16" t="s">
        <v>9</v>
      </c>
      <c r="J143" s="16" t="s">
        <v>10</v>
      </c>
      <c r="K143" s="16" t="s">
        <v>11</v>
      </c>
      <c r="L143" s="18"/>
      <c r="M143" s="8"/>
    </row>
    <row r="144" spans="1:13" s="7" customFormat="1" ht="15.75">
      <c r="A144" s="19"/>
      <c r="B144" s="20"/>
      <c r="C144" s="20"/>
      <c r="D144" s="21" t="s">
        <v>12</v>
      </c>
      <c r="E144" s="21"/>
      <c r="F144" s="21" t="s">
        <v>13</v>
      </c>
      <c r="G144" s="21" t="s">
        <v>17</v>
      </c>
      <c r="H144" s="22" t="s">
        <v>19</v>
      </c>
      <c r="I144" s="21"/>
      <c r="J144" s="21" t="s">
        <v>20</v>
      </c>
      <c r="K144" s="21" t="s">
        <v>21</v>
      </c>
      <c r="L144" s="23" t="s">
        <v>22</v>
      </c>
      <c r="M144" s="8"/>
    </row>
    <row r="145" spans="1:13" s="7" customFormat="1" ht="15.75">
      <c r="A145" s="35" t="s">
        <v>133</v>
      </c>
      <c r="B145" s="27" t="s">
        <v>134</v>
      </c>
      <c r="C145" s="41">
        <f>SUM(C146:C148)</f>
        <v>207512500</v>
      </c>
      <c r="D145" s="41">
        <f>SUM(D146:D148)</f>
        <v>207412150</v>
      </c>
      <c r="E145" s="41">
        <f>SUM(E146:E147)</f>
        <v>4734412</v>
      </c>
      <c r="F145" s="41">
        <f>SUM(F146:F147)</f>
        <v>9311935</v>
      </c>
      <c r="G145" s="42">
        <f aca="true" t="shared" si="13" ref="G145:G176">(F145/$F$244)*100</f>
        <v>0.044097518201051164</v>
      </c>
      <c r="H145" s="41">
        <f aca="true" t="shared" si="14" ref="H145:H160">D145-F145</f>
        <v>198100215</v>
      </c>
      <c r="I145" s="41">
        <f>SUM(I146:I147)</f>
        <v>4747230</v>
      </c>
      <c r="J145" s="41">
        <f>SUM(J146:J147)</f>
        <v>8727720</v>
      </c>
      <c r="K145" s="42">
        <f aca="true" t="shared" si="15" ref="K145:K176">(J145/$J$244)*100</f>
        <v>0.04799647724559086</v>
      </c>
      <c r="L145" s="43">
        <f aca="true" t="shared" si="16" ref="L145:L160">D145-J145</f>
        <v>198684430</v>
      </c>
      <c r="M145" s="8"/>
    </row>
    <row r="146" spans="1:13" s="7" customFormat="1" ht="15.75">
      <c r="A146" s="24" t="s">
        <v>28</v>
      </c>
      <c r="B146" s="25" t="s">
        <v>33</v>
      </c>
      <c r="C146" s="44">
        <v>29300068</v>
      </c>
      <c r="D146" s="44">
        <v>29200068</v>
      </c>
      <c r="E146" s="44">
        <f>F146-4577523</f>
        <v>4704596</v>
      </c>
      <c r="F146" s="44">
        <v>9282119</v>
      </c>
      <c r="G146" s="46">
        <f t="shared" si="13"/>
        <v>0.04395632181139826</v>
      </c>
      <c r="H146" s="44">
        <f t="shared" si="14"/>
        <v>19917949</v>
      </c>
      <c r="I146" s="44">
        <f>J146-3980490</f>
        <v>4717414</v>
      </c>
      <c r="J146" s="44">
        <v>8697904</v>
      </c>
      <c r="K146" s="46">
        <f t="shared" si="15"/>
        <v>0.04783250968412526</v>
      </c>
      <c r="L146" s="47">
        <f t="shared" si="16"/>
        <v>20502164</v>
      </c>
      <c r="M146" s="8"/>
    </row>
    <row r="147" spans="1:13" s="7" customFormat="1" ht="15.75">
      <c r="A147" s="24" t="s">
        <v>135</v>
      </c>
      <c r="B147" s="25" t="s">
        <v>136</v>
      </c>
      <c r="C147" s="44">
        <v>177652432</v>
      </c>
      <c r="D147" s="44">
        <v>177652082</v>
      </c>
      <c r="E147" s="44">
        <f>F147-0</f>
        <v>29816</v>
      </c>
      <c r="F147" s="44">
        <v>29816</v>
      </c>
      <c r="G147" s="46">
        <f t="shared" si="13"/>
        <v>0.0001411963896529069</v>
      </c>
      <c r="H147" s="44">
        <f t="shared" si="14"/>
        <v>177622266</v>
      </c>
      <c r="I147" s="44">
        <f>J147-0</f>
        <v>29816</v>
      </c>
      <c r="J147" s="44">
        <v>29816</v>
      </c>
      <c r="K147" s="46">
        <f t="shared" si="15"/>
        <v>0.00016396756146559895</v>
      </c>
      <c r="L147" s="47">
        <f t="shared" si="16"/>
        <v>177622266</v>
      </c>
      <c r="M147" s="8"/>
    </row>
    <row r="148" spans="1:13" s="7" customFormat="1" ht="15.75">
      <c r="A148" s="24" t="s">
        <v>267</v>
      </c>
      <c r="B148" s="25" t="s">
        <v>268</v>
      </c>
      <c r="C148" s="44">
        <v>560000</v>
      </c>
      <c r="D148" s="44">
        <v>560000</v>
      </c>
      <c r="E148" s="44">
        <f>F148-0</f>
        <v>0</v>
      </c>
      <c r="F148" s="44">
        <v>0</v>
      </c>
      <c r="G148" s="46">
        <f t="shared" si="13"/>
        <v>0</v>
      </c>
      <c r="H148" s="44">
        <f t="shared" si="14"/>
        <v>560000</v>
      </c>
      <c r="I148" s="44">
        <f>J148-0</f>
        <v>0</v>
      </c>
      <c r="J148" s="44">
        <v>0</v>
      </c>
      <c r="K148" s="46">
        <f t="shared" si="15"/>
        <v>0</v>
      </c>
      <c r="L148" s="47">
        <f t="shared" si="16"/>
        <v>560000</v>
      </c>
      <c r="M148" s="8"/>
    </row>
    <row r="149" spans="1:13" s="7" customFormat="1" ht="15.75">
      <c r="A149" s="35" t="s">
        <v>138</v>
      </c>
      <c r="B149" s="27" t="s">
        <v>137</v>
      </c>
      <c r="C149" s="41">
        <f>SUM(C150:C153)</f>
        <v>439534631</v>
      </c>
      <c r="D149" s="41">
        <f>SUM(D150:D153)</f>
        <v>439624631</v>
      </c>
      <c r="E149" s="41">
        <f>SUM(E150:E153)</f>
        <v>9735382</v>
      </c>
      <c r="F149" s="41">
        <f>SUM(F150:F153)</f>
        <v>19349995</v>
      </c>
      <c r="G149" s="42">
        <f t="shared" si="13"/>
        <v>0.09163366762147171</v>
      </c>
      <c r="H149" s="41">
        <f t="shared" si="14"/>
        <v>420274636</v>
      </c>
      <c r="I149" s="41">
        <f>SUM(I150:I153)</f>
        <v>9906350</v>
      </c>
      <c r="J149" s="41">
        <f>SUM(J150:J153)</f>
        <v>19252803</v>
      </c>
      <c r="K149" s="42">
        <f t="shared" si="15"/>
        <v>0.10587721891895517</v>
      </c>
      <c r="L149" s="43">
        <f t="shared" si="16"/>
        <v>420371828</v>
      </c>
      <c r="M149" s="8"/>
    </row>
    <row r="150" spans="1:13" s="7" customFormat="1" ht="15.75">
      <c r="A150" s="24" t="s">
        <v>28</v>
      </c>
      <c r="B150" s="25" t="s">
        <v>33</v>
      </c>
      <c r="C150" s="44">
        <v>61028043</v>
      </c>
      <c r="D150" s="44">
        <v>61118043</v>
      </c>
      <c r="E150" s="44">
        <f>F150-9614613</f>
        <v>9735382</v>
      </c>
      <c r="F150" s="44">
        <v>19349995</v>
      </c>
      <c r="G150" s="46">
        <f t="shared" si="13"/>
        <v>0.09163366762147171</v>
      </c>
      <c r="H150" s="44">
        <f t="shared" si="14"/>
        <v>41768048</v>
      </c>
      <c r="I150" s="44">
        <f>J150-9346453</f>
        <v>9906350</v>
      </c>
      <c r="J150" s="44">
        <v>19252803</v>
      </c>
      <c r="K150" s="46">
        <f t="shared" si="15"/>
        <v>0.10587721891895517</v>
      </c>
      <c r="L150" s="47">
        <f t="shared" si="16"/>
        <v>41865240</v>
      </c>
      <c r="M150" s="8"/>
    </row>
    <row r="151" spans="1:13" s="7" customFormat="1" ht="15.75">
      <c r="A151" s="24" t="s">
        <v>67</v>
      </c>
      <c r="B151" s="25" t="s">
        <v>75</v>
      </c>
      <c r="C151" s="44">
        <v>1628705</v>
      </c>
      <c r="D151" s="44">
        <v>1628705</v>
      </c>
      <c r="E151" s="44">
        <f>F151-0</f>
        <v>0</v>
      </c>
      <c r="F151" s="44">
        <v>0</v>
      </c>
      <c r="G151" s="46">
        <f t="shared" si="13"/>
        <v>0</v>
      </c>
      <c r="H151" s="44">
        <f t="shared" si="14"/>
        <v>1628705</v>
      </c>
      <c r="I151" s="44">
        <f>J151-0</f>
        <v>0</v>
      </c>
      <c r="J151" s="44">
        <v>0</v>
      </c>
      <c r="K151" s="46">
        <f t="shared" si="15"/>
        <v>0</v>
      </c>
      <c r="L151" s="47">
        <f t="shared" si="16"/>
        <v>1628705</v>
      </c>
      <c r="M151" s="8"/>
    </row>
    <row r="152" spans="1:13" s="7" customFormat="1" ht="15.75">
      <c r="A152" s="24" t="s">
        <v>135</v>
      </c>
      <c r="B152" s="25" t="s">
        <v>136</v>
      </c>
      <c r="C152" s="44">
        <v>78468902</v>
      </c>
      <c r="D152" s="44">
        <v>78468902</v>
      </c>
      <c r="E152" s="44">
        <f>F152-0</f>
        <v>0</v>
      </c>
      <c r="F152" s="44">
        <v>0</v>
      </c>
      <c r="G152" s="46">
        <f t="shared" si="13"/>
        <v>0</v>
      </c>
      <c r="H152" s="44">
        <f t="shared" si="14"/>
        <v>78468902</v>
      </c>
      <c r="I152" s="44">
        <f>J152-0</f>
        <v>0</v>
      </c>
      <c r="J152" s="44">
        <v>0</v>
      </c>
      <c r="K152" s="46">
        <f t="shared" si="15"/>
        <v>0</v>
      </c>
      <c r="L152" s="47">
        <f t="shared" si="16"/>
        <v>78468902</v>
      </c>
      <c r="M152" s="8"/>
    </row>
    <row r="153" spans="1:13" s="7" customFormat="1" ht="15.75">
      <c r="A153" s="24" t="s">
        <v>139</v>
      </c>
      <c r="B153" s="25" t="s">
        <v>140</v>
      </c>
      <c r="C153" s="44">
        <v>298408981</v>
      </c>
      <c r="D153" s="44">
        <v>298408981</v>
      </c>
      <c r="E153" s="44">
        <f>F153-0</f>
        <v>0</v>
      </c>
      <c r="F153" s="44">
        <v>0</v>
      </c>
      <c r="G153" s="46">
        <f t="shared" si="13"/>
        <v>0</v>
      </c>
      <c r="H153" s="44">
        <f t="shared" si="14"/>
        <v>298408981</v>
      </c>
      <c r="I153" s="44">
        <f>J153-0</f>
        <v>0</v>
      </c>
      <c r="J153" s="44">
        <v>0</v>
      </c>
      <c r="K153" s="46">
        <f t="shared" si="15"/>
        <v>0</v>
      </c>
      <c r="L153" s="47">
        <f t="shared" si="16"/>
        <v>298408981</v>
      </c>
      <c r="M153" s="8"/>
    </row>
    <row r="154" spans="1:13" s="7" customFormat="1" ht="15.75">
      <c r="A154" s="35" t="s">
        <v>141</v>
      </c>
      <c r="B154" s="27" t="s">
        <v>142</v>
      </c>
      <c r="C154" s="41">
        <f>SUM(C155:C157)</f>
        <v>689850565</v>
      </c>
      <c r="D154" s="41">
        <f>SUM(D155:D157)</f>
        <v>689850915</v>
      </c>
      <c r="E154" s="41">
        <f>SUM(E155:E157)</f>
        <v>61470282</v>
      </c>
      <c r="F154" s="41">
        <f>SUM(F155:F157)</f>
        <v>61665308</v>
      </c>
      <c r="G154" s="42">
        <f t="shared" si="13"/>
        <v>0.2920216949434705</v>
      </c>
      <c r="H154" s="41">
        <f t="shared" si="14"/>
        <v>628185607</v>
      </c>
      <c r="I154" s="41">
        <f>SUM(I155:I157)</f>
        <v>4103493</v>
      </c>
      <c r="J154" s="41">
        <f>SUM(J155:J157)</f>
        <v>4103493</v>
      </c>
      <c r="K154" s="42">
        <f t="shared" si="15"/>
        <v>0.02256639860146079</v>
      </c>
      <c r="L154" s="43">
        <f t="shared" si="16"/>
        <v>685747422</v>
      </c>
      <c r="M154" s="8"/>
    </row>
    <row r="155" spans="1:13" s="7" customFormat="1" ht="15.75">
      <c r="A155" s="24" t="s">
        <v>143</v>
      </c>
      <c r="B155" s="25" t="s">
        <v>144</v>
      </c>
      <c r="C155" s="44">
        <v>689840565</v>
      </c>
      <c r="D155" s="44">
        <v>689840915</v>
      </c>
      <c r="E155" s="44">
        <f>F155-195026</f>
        <v>61470282</v>
      </c>
      <c r="F155" s="44">
        <v>61665308</v>
      </c>
      <c r="G155" s="46">
        <f t="shared" si="13"/>
        <v>0.2920216949434705</v>
      </c>
      <c r="H155" s="44">
        <f t="shared" si="14"/>
        <v>628175607</v>
      </c>
      <c r="I155" s="44">
        <f>J155-0</f>
        <v>4103493</v>
      </c>
      <c r="J155" s="44">
        <v>4103493</v>
      </c>
      <c r="K155" s="46">
        <f t="shared" si="15"/>
        <v>0.02256639860146079</v>
      </c>
      <c r="L155" s="47">
        <f t="shared" si="16"/>
        <v>685737422</v>
      </c>
      <c r="M155" s="8"/>
    </row>
    <row r="156" spans="1:13" s="7" customFormat="1" ht="15.75">
      <c r="A156" s="24" t="s">
        <v>145</v>
      </c>
      <c r="B156" s="25" t="s">
        <v>146</v>
      </c>
      <c r="C156" s="44">
        <v>0</v>
      </c>
      <c r="D156" s="44">
        <v>0</v>
      </c>
      <c r="E156" s="44">
        <f>F156-0</f>
        <v>0</v>
      </c>
      <c r="F156" s="44">
        <v>0</v>
      </c>
      <c r="G156" s="46">
        <f t="shared" si="13"/>
        <v>0</v>
      </c>
      <c r="H156" s="44">
        <f t="shared" si="14"/>
        <v>0</v>
      </c>
      <c r="I156" s="44">
        <f>J156-0</f>
        <v>0</v>
      </c>
      <c r="J156" s="44">
        <v>0</v>
      </c>
      <c r="K156" s="46">
        <f t="shared" si="15"/>
        <v>0</v>
      </c>
      <c r="L156" s="47">
        <f t="shared" si="16"/>
        <v>0</v>
      </c>
      <c r="M156" s="8"/>
    </row>
    <row r="157" spans="1:15" s="7" customFormat="1" ht="15.75">
      <c r="A157" s="24" t="s">
        <v>147</v>
      </c>
      <c r="B157" s="25" t="s">
        <v>148</v>
      </c>
      <c r="C157" s="44">
        <v>10000</v>
      </c>
      <c r="D157" s="44">
        <v>10000</v>
      </c>
      <c r="E157" s="44">
        <f>F157-0</f>
        <v>0</v>
      </c>
      <c r="F157" s="44">
        <v>0</v>
      </c>
      <c r="G157" s="46">
        <f t="shared" si="13"/>
        <v>0</v>
      </c>
      <c r="H157" s="44">
        <f t="shared" si="14"/>
        <v>10000</v>
      </c>
      <c r="I157" s="44">
        <f>J157-0</f>
        <v>0</v>
      </c>
      <c r="J157" s="44">
        <v>0</v>
      </c>
      <c r="K157" s="46">
        <f t="shared" si="15"/>
        <v>0</v>
      </c>
      <c r="L157" s="47">
        <f t="shared" si="16"/>
        <v>10000</v>
      </c>
      <c r="M157" s="8"/>
      <c r="O157" s="9"/>
    </row>
    <row r="158" spans="1:15" s="7" customFormat="1" ht="15.75">
      <c r="A158" s="35" t="s">
        <v>149</v>
      </c>
      <c r="B158" s="27" t="s">
        <v>150</v>
      </c>
      <c r="C158" s="41">
        <f>SUM(C159:C166)</f>
        <v>942063546</v>
      </c>
      <c r="D158" s="41">
        <f>SUM(D159:D166)</f>
        <v>942063546</v>
      </c>
      <c r="E158" s="41">
        <f>SUM(E159:E166)</f>
        <v>43789788</v>
      </c>
      <c r="F158" s="41">
        <f>SUM(F159:F166)</f>
        <v>77650377</v>
      </c>
      <c r="G158" s="42">
        <f t="shared" si="13"/>
        <v>0.3677204483360316</v>
      </c>
      <c r="H158" s="41">
        <f t="shared" si="14"/>
        <v>864413169</v>
      </c>
      <c r="I158" s="41">
        <f>SUM(I159:I166)</f>
        <v>37181705</v>
      </c>
      <c r="J158" s="41">
        <f>SUM(J159:J166)</f>
        <v>60546438</v>
      </c>
      <c r="K158" s="42">
        <f t="shared" si="15"/>
        <v>0.3329639050941801</v>
      </c>
      <c r="L158" s="43">
        <f t="shared" si="16"/>
        <v>881517108</v>
      </c>
      <c r="M158" s="8"/>
      <c r="O158" s="10"/>
    </row>
    <row r="159" spans="1:13" s="7" customFormat="1" ht="15.75">
      <c r="A159" s="24" t="s">
        <v>28</v>
      </c>
      <c r="B159" s="25" t="s">
        <v>33</v>
      </c>
      <c r="C159" s="44">
        <v>213716659</v>
      </c>
      <c r="D159" s="44">
        <v>213776659</v>
      </c>
      <c r="E159" s="44">
        <f>F159-27656461</f>
        <v>24190463</v>
      </c>
      <c r="F159" s="44">
        <v>51846924</v>
      </c>
      <c r="G159" s="46">
        <f t="shared" si="13"/>
        <v>0.24552584127343208</v>
      </c>
      <c r="H159" s="44">
        <f t="shared" si="14"/>
        <v>161929735</v>
      </c>
      <c r="I159" s="44">
        <f>J159-21081434</f>
        <v>23609278</v>
      </c>
      <c r="J159" s="44">
        <v>44690712</v>
      </c>
      <c r="K159" s="46">
        <f t="shared" si="15"/>
        <v>0.24576828101694997</v>
      </c>
      <c r="L159" s="47">
        <f t="shared" si="16"/>
        <v>169085947</v>
      </c>
      <c r="M159" s="8"/>
    </row>
    <row r="160" spans="1:13" s="7" customFormat="1" ht="15.75">
      <c r="A160" s="24" t="s">
        <v>151</v>
      </c>
      <c r="B160" s="25" t="s">
        <v>152</v>
      </c>
      <c r="C160" s="44">
        <v>10000000</v>
      </c>
      <c r="D160" s="44">
        <v>10000000</v>
      </c>
      <c r="E160" s="44">
        <f>F160-0</f>
        <v>0</v>
      </c>
      <c r="F160" s="44">
        <v>0</v>
      </c>
      <c r="G160" s="46">
        <f t="shared" si="13"/>
        <v>0</v>
      </c>
      <c r="H160" s="44">
        <f t="shared" si="14"/>
        <v>10000000</v>
      </c>
      <c r="I160" s="44">
        <f aca="true" t="shared" si="17" ref="I160:I166">J160-0</f>
        <v>0</v>
      </c>
      <c r="J160" s="44">
        <v>0</v>
      </c>
      <c r="K160" s="46">
        <f t="shared" si="15"/>
        <v>0</v>
      </c>
      <c r="L160" s="47">
        <f t="shared" si="16"/>
        <v>10000000</v>
      </c>
      <c r="M160" s="8"/>
    </row>
    <row r="161" spans="1:13" s="7" customFormat="1" ht="15.75">
      <c r="A161" s="24" t="s">
        <v>153</v>
      </c>
      <c r="B161" s="25" t="s">
        <v>154</v>
      </c>
      <c r="C161" s="44">
        <v>135220000</v>
      </c>
      <c r="D161" s="44">
        <v>135220000</v>
      </c>
      <c r="E161" s="44">
        <f>F161-208247</f>
        <v>6686899</v>
      </c>
      <c r="F161" s="44">
        <v>6895146</v>
      </c>
      <c r="G161" s="46">
        <f t="shared" si="13"/>
        <v>0.03265259328312592</v>
      </c>
      <c r="H161" s="44">
        <f aca="true" t="shared" si="18" ref="H161:H166">D161-F161</f>
        <v>128324854</v>
      </c>
      <c r="I161" s="44">
        <f>J161-83299</f>
        <v>1696829</v>
      </c>
      <c r="J161" s="44">
        <v>1780128</v>
      </c>
      <c r="K161" s="46">
        <f t="shared" si="15"/>
        <v>0.009789483742173118</v>
      </c>
      <c r="L161" s="47">
        <f aca="true" t="shared" si="19" ref="L161:L166">D161-J161</f>
        <v>133439872</v>
      </c>
      <c r="M161" s="8"/>
    </row>
    <row r="162" spans="1:13" s="7" customFormat="1" ht="15.75">
      <c r="A162" s="24" t="s">
        <v>30</v>
      </c>
      <c r="B162" s="25" t="s">
        <v>35</v>
      </c>
      <c r="C162" s="44">
        <v>132823234</v>
      </c>
      <c r="D162" s="44">
        <v>132823234</v>
      </c>
      <c r="E162" s="44">
        <f>F162-428991</f>
        <v>154803</v>
      </c>
      <c r="F162" s="44">
        <v>583794</v>
      </c>
      <c r="G162" s="46">
        <f t="shared" si="13"/>
        <v>0.0027646097766645134</v>
      </c>
      <c r="H162" s="44">
        <f t="shared" si="18"/>
        <v>132239440</v>
      </c>
      <c r="I162" s="44">
        <f t="shared" si="17"/>
        <v>190917</v>
      </c>
      <c r="J162" s="44">
        <v>190917</v>
      </c>
      <c r="K162" s="46">
        <f t="shared" si="15"/>
        <v>0.0010499126285325917</v>
      </c>
      <c r="L162" s="47">
        <f t="shared" si="19"/>
        <v>132632317</v>
      </c>
      <c r="M162" s="8"/>
    </row>
    <row r="163" spans="1:13" s="7" customFormat="1" ht="15.75">
      <c r="A163" s="24" t="s">
        <v>145</v>
      </c>
      <c r="B163" s="25" t="s">
        <v>146</v>
      </c>
      <c r="C163" s="44">
        <v>242002841</v>
      </c>
      <c r="D163" s="44">
        <v>241942841</v>
      </c>
      <c r="E163" s="44">
        <f>F163-1366890</f>
        <v>4307389</v>
      </c>
      <c r="F163" s="44">
        <v>5674279</v>
      </c>
      <c r="G163" s="46">
        <f t="shared" si="13"/>
        <v>0.026871066161903236</v>
      </c>
      <c r="H163" s="44">
        <f t="shared" si="18"/>
        <v>236268562</v>
      </c>
      <c r="I163" s="44">
        <f t="shared" si="17"/>
        <v>1755616</v>
      </c>
      <c r="J163" s="44">
        <v>1755616</v>
      </c>
      <c r="K163" s="46">
        <f t="shared" si="15"/>
        <v>0.009654684544874864</v>
      </c>
      <c r="L163" s="47">
        <f t="shared" si="19"/>
        <v>240187225</v>
      </c>
      <c r="M163" s="8"/>
    </row>
    <row r="164" spans="1:13" s="7" customFormat="1" ht="15.75">
      <c r="A164" s="57" t="s">
        <v>147</v>
      </c>
      <c r="B164" s="58" t="s">
        <v>148</v>
      </c>
      <c r="C164" s="44">
        <v>207295812</v>
      </c>
      <c r="D164" s="44">
        <v>207295812</v>
      </c>
      <c r="E164" s="44">
        <f>F164-4200000</f>
        <v>8445034</v>
      </c>
      <c r="F164" s="44">
        <v>12645034</v>
      </c>
      <c r="G164" s="46">
        <f t="shared" si="13"/>
        <v>0.05988171276624148</v>
      </c>
      <c r="H164" s="44">
        <f t="shared" si="18"/>
        <v>194650778</v>
      </c>
      <c r="I164" s="44">
        <f>J164-2200000</f>
        <v>9929065</v>
      </c>
      <c r="J164" s="44">
        <v>12129065</v>
      </c>
      <c r="K164" s="46">
        <f t="shared" si="15"/>
        <v>0.06670154316164961</v>
      </c>
      <c r="L164" s="47">
        <f t="shared" si="19"/>
        <v>195166747</v>
      </c>
      <c r="M164" s="8"/>
    </row>
    <row r="165" spans="1:13" s="7" customFormat="1" ht="15.75">
      <c r="A165" s="57" t="s">
        <v>160</v>
      </c>
      <c r="B165" s="25" t="s">
        <v>161</v>
      </c>
      <c r="C165" s="59">
        <v>5000</v>
      </c>
      <c r="D165" s="44">
        <v>5000</v>
      </c>
      <c r="E165" s="44">
        <f>F165-0</f>
        <v>0</v>
      </c>
      <c r="F165" s="44">
        <v>0</v>
      </c>
      <c r="G165" s="46">
        <f t="shared" si="13"/>
        <v>0</v>
      </c>
      <c r="H165" s="44">
        <f t="shared" si="18"/>
        <v>5000</v>
      </c>
      <c r="I165" s="44">
        <f t="shared" si="17"/>
        <v>0</v>
      </c>
      <c r="J165" s="44">
        <v>0</v>
      </c>
      <c r="K165" s="46">
        <f t="shared" si="15"/>
        <v>0</v>
      </c>
      <c r="L165" s="47">
        <f t="shared" si="19"/>
        <v>5000</v>
      </c>
      <c r="M165" s="8"/>
    </row>
    <row r="166" spans="1:13" s="7" customFormat="1" ht="15.75">
      <c r="A166" s="57" t="s">
        <v>97</v>
      </c>
      <c r="B166" s="25" t="s">
        <v>237</v>
      </c>
      <c r="C166" s="59">
        <v>1000000</v>
      </c>
      <c r="D166" s="44">
        <v>1000000</v>
      </c>
      <c r="E166" s="44">
        <f>F166-0</f>
        <v>5200</v>
      </c>
      <c r="F166" s="44">
        <v>5200</v>
      </c>
      <c r="G166" s="46">
        <f t="shared" si="13"/>
        <v>2.4625074664445795E-05</v>
      </c>
      <c r="H166" s="44">
        <f t="shared" si="18"/>
        <v>994800</v>
      </c>
      <c r="I166" s="44">
        <f t="shared" si="17"/>
        <v>0</v>
      </c>
      <c r="J166" s="44">
        <v>0</v>
      </c>
      <c r="K166" s="46">
        <f t="shared" si="15"/>
        <v>0</v>
      </c>
      <c r="L166" s="47">
        <f t="shared" si="19"/>
        <v>1000000</v>
      </c>
      <c r="M166" s="8"/>
    </row>
    <row r="167" spans="1:12" ht="15.75">
      <c r="A167" s="35" t="s">
        <v>158</v>
      </c>
      <c r="B167" s="27" t="s">
        <v>159</v>
      </c>
      <c r="C167" s="41">
        <f>SUM(C168:C175)</f>
        <v>436347721</v>
      </c>
      <c r="D167" s="41">
        <f>SUM(D168:D175)</f>
        <v>417581161</v>
      </c>
      <c r="E167" s="41">
        <f>SUM(E168:E175)</f>
        <v>25148545</v>
      </c>
      <c r="F167" s="41">
        <f>SUM(F168:F175)</f>
        <v>45167555</v>
      </c>
      <c r="G167" s="42">
        <f t="shared" si="13"/>
        <v>0.2138950796702812</v>
      </c>
      <c r="H167" s="41">
        <f>D167-F167</f>
        <v>372413606</v>
      </c>
      <c r="I167" s="41">
        <f>SUM(I168:I175)</f>
        <v>24112714</v>
      </c>
      <c r="J167" s="41">
        <f>SUM(J168:J175)</f>
        <v>44017912</v>
      </c>
      <c r="K167" s="42">
        <f t="shared" si="15"/>
        <v>0.24206834221382226</v>
      </c>
      <c r="L167" s="43">
        <f>D167-J167</f>
        <v>373563249</v>
      </c>
    </row>
    <row r="168" spans="1:12" ht="15.75">
      <c r="A168" s="24" t="s">
        <v>28</v>
      </c>
      <c r="B168" s="25" t="s">
        <v>33</v>
      </c>
      <c r="C168" s="44">
        <v>99193180</v>
      </c>
      <c r="D168" s="44">
        <v>80634347</v>
      </c>
      <c r="E168" s="44">
        <f>F168-9156021</f>
        <v>10925725</v>
      </c>
      <c r="F168" s="44">
        <v>20081746</v>
      </c>
      <c r="G168" s="46">
        <f t="shared" si="13"/>
        <v>0.09509894127739148</v>
      </c>
      <c r="H168" s="44">
        <f aca="true" t="shared" si="20" ref="H168:H234">D168-F168</f>
        <v>60552601</v>
      </c>
      <c r="I168" s="44">
        <f>J168-9042219</f>
        <v>10404828</v>
      </c>
      <c r="J168" s="44">
        <v>19447047</v>
      </c>
      <c r="K168" s="46">
        <f t="shared" si="15"/>
        <v>0.1069454277668665</v>
      </c>
      <c r="L168" s="47">
        <f>D168-J168</f>
        <v>61187300</v>
      </c>
    </row>
    <row r="169" spans="1:12" ht="15.75">
      <c r="A169" s="24" t="s">
        <v>50</v>
      </c>
      <c r="B169" s="25" t="s">
        <v>57</v>
      </c>
      <c r="C169" s="44">
        <v>15561207</v>
      </c>
      <c r="D169" s="44">
        <v>15561207</v>
      </c>
      <c r="E169" s="44">
        <f>F169-241271</f>
        <v>1556354</v>
      </c>
      <c r="F169" s="44">
        <v>1797625</v>
      </c>
      <c r="G169" s="46">
        <f t="shared" si="13"/>
        <v>0.008512817277629687</v>
      </c>
      <c r="H169" s="44">
        <f t="shared" si="20"/>
        <v>13763582</v>
      </c>
      <c r="I169" s="44">
        <f>J169-241271</f>
        <v>1041420</v>
      </c>
      <c r="J169" s="44">
        <v>1282691</v>
      </c>
      <c r="K169" s="46">
        <f t="shared" si="15"/>
        <v>0.007053921229671</v>
      </c>
      <c r="L169" s="47">
        <f aca="true" t="shared" si="21" ref="L169:L232">D169-J169</f>
        <v>14278516</v>
      </c>
    </row>
    <row r="170" spans="1:12" ht="15.75">
      <c r="A170" s="24" t="s">
        <v>113</v>
      </c>
      <c r="B170" s="25" t="s">
        <v>120</v>
      </c>
      <c r="C170" s="44">
        <v>0</v>
      </c>
      <c r="D170" s="44">
        <v>0</v>
      </c>
      <c r="E170" s="44">
        <f>F170-0</f>
        <v>0</v>
      </c>
      <c r="F170" s="44">
        <v>0</v>
      </c>
      <c r="G170" s="46">
        <f t="shared" si="13"/>
        <v>0</v>
      </c>
      <c r="H170" s="44">
        <f t="shared" si="20"/>
        <v>0</v>
      </c>
      <c r="I170" s="44">
        <f>J170-0</f>
        <v>0</v>
      </c>
      <c r="J170" s="44">
        <v>0</v>
      </c>
      <c r="K170" s="46">
        <f t="shared" si="15"/>
        <v>0</v>
      </c>
      <c r="L170" s="47">
        <f t="shared" si="21"/>
        <v>0</v>
      </c>
    </row>
    <row r="171" spans="1:12" ht="15.75">
      <c r="A171" s="24" t="s">
        <v>114</v>
      </c>
      <c r="B171" s="25" t="s">
        <v>121</v>
      </c>
      <c r="C171" s="44">
        <v>103000000</v>
      </c>
      <c r="D171" s="44">
        <v>103000000</v>
      </c>
      <c r="E171" s="44">
        <f>F171-10463068</f>
        <v>11869517</v>
      </c>
      <c r="F171" s="44">
        <v>22332585</v>
      </c>
      <c r="G171" s="46">
        <f t="shared" si="13"/>
        <v>0.10575799482213119</v>
      </c>
      <c r="H171" s="44">
        <f t="shared" si="20"/>
        <v>80667415</v>
      </c>
      <c r="I171" s="44">
        <f>J171-10463068</f>
        <v>11869517</v>
      </c>
      <c r="J171" s="44">
        <v>22332585</v>
      </c>
      <c r="K171" s="46">
        <f t="shared" si="15"/>
        <v>0.12281390876285259</v>
      </c>
      <c r="L171" s="47"/>
    </row>
    <row r="172" spans="1:12" ht="15.75">
      <c r="A172" s="24" t="s">
        <v>116</v>
      </c>
      <c r="B172" s="25" t="s">
        <v>123</v>
      </c>
      <c r="C172" s="44">
        <v>5000</v>
      </c>
      <c r="D172" s="44">
        <v>5000</v>
      </c>
      <c r="E172" s="44">
        <f>F172-0</f>
        <v>0</v>
      </c>
      <c r="F172" s="44">
        <v>0</v>
      </c>
      <c r="G172" s="46">
        <f t="shared" si="13"/>
        <v>0</v>
      </c>
      <c r="H172" s="44">
        <f t="shared" si="20"/>
        <v>5000</v>
      </c>
      <c r="I172" s="44">
        <f>J172-0</f>
        <v>0</v>
      </c>
      <c r="J172" s="44">
        <v>0</v>
      </c>
      <c r="K172" s="46">
        <f t="shared" si="15"/>
        <v>0</v>
      </c>
      <c r="L172" s="47">
        <f t="shared" si="21"/>
        <v>5000</v>
      </c>
    </row>
    <row r="173" spans="1:12" ht="15.75">
      <c r="A173" s="24" t="s">
        <v>96</v>
      </c>
      <c r="B173" s="25" t="s">
        <v>102</v>
      </c>
      <c r="C173" s="44">
        <v>187476725</v>
      </c>
      <c r="D173" s="44">
        <v>185468998</v>
      </c>
      <c r="E173" s="44">
        <f>F173-0</f>
        <v>101253</v>
      </c>
      <c r="F173" s="44">
        <v>101253</v>
      </c>
      <c r="G173" s="46">
        <f t="shared" si="13"/>
        <v>0.0004794928240382943</v>
      </c>
      <c r="H173" s="44">
        <f t="shared" si="20"/>
        <v>185367745</v>
      </c>
      <c r="I173" s="44">
        <f>J173-0</f>
        <v>101253</v>
      </c>
      <c r="J173" s="44">
        <v>101253</v>
      </c>
      <c r="K173" s="46">
        <f t="shared" si="15"/>
        <v>0.000556822092201378</v>
      </c>
      <c r="L173" s="47">
        <f t="shared" si="21"/>
        <v>185367745</v>
      </c>
    </row>
    <row r="174" spans="1:12" ht="15.75">
      <c r="A174" s="24" t="s">
        <v>160</v>
      </c>
      <c r="B174" s="25" t="s">
        <v>161</v>
      </c>
      <c r="C174" s="44">
        <v>30282620</v>
      </c>
      <c r="D174" s="44">
        <v>32082620</v>
      </c>
      <c r="E174" s="44">
        <f>F174-158650</f>
        <v>695696</v>
      </c>
      <c r="F174" s="44">
        <v>854346</v>
      </c>
      <c r="G174" s="46">
        <f t="shared" si="13"/>
        <v>0.004045833469090502</v>
      </c>
      <c r="H174" s="44">
        <f t="shared" si="20"/>
        <v>31228274</v>
      </c>
      <c r="I174" s="44">
        <f>J174-158640</f>
        <v>695696</v>
      </c>
      <c r="J174" s="44">
        <v>854336</v>
      </c>
      <c r="K174" s="46">
        <f t="shared" si="15"/>
        <v>0.004698262362230814</v>
      </c>
      <c r="L174" s="47">
        <f t="shared" si="21"/>
        <v>31228284</v>
      </c>
    </row>
    <row r="175" spans="1:12" ht="15.75">
      <c r="A175" s="24" t="s">
        <v>97</v>
      </c>
      <c r="B175" s="25" t="s">
        <v>241</v>
      </c>
      <c r="C175" s="44">
        <v>828989</v>
      </c>
      <c r="D175" s="44">
        <v>828989</v>
      </c>
      <c r="E175" s="44">
        <f>F175-0</f>
        <v>0</v>
      </c>
      <c r="F175" s="44">
        <v>0</v>
      </c>
      <c r="G175" s="46">
        <f t="shared" si="13"/>
        <v>0</v>
      </c>
      <c r="H175" s="44">
        <f t="shared" si="20"/>
        <v>828989</v>
      </c>
      <c r="I175" s="44">
        <f>J175-0</f>
        <v>0</v>
      </c>
      <c r="J175" s="44">
        <v>0</v>
      </c>
      <c r="K175" s="46">
        <f t="shared" si="15"/>
        <v>0</v>
      </c>
      <c r="L175" s="47">
        <f t="shared" si="21"/>
        <v>828989</v>
      </c>
    </row>
    <row r="176" spans="1:12" ht="15.75">
      <c r="A176" s="35" t="s">
        <v>162</v>
      </c>
      <c r="B176" s="27" t="s">
        <v>163</v>
      </c>
      <c r="C176" s="41">
        <f>SUM(C177:C189)</f>
        <v>358667638</v>
      </c>
      <c r="D176" s="41">
        <f>SUM(D177:D189)</f>
        <v>358625407</v>
      </c>
      <c r="E176" s="41">
        <f>SUM(E177:E189)</f>
        <v>49584093</v>
      </c>
      <c r="F176" s="41">
        <f>SUM(F177:F189)</f>
        <v>94279999</v>
      </c>
      <c r="G176" s="42">
        <f t="shared" si="13"/>
        <v>0.4464715412959375</v>
      </c>
      <c r="H176" s="41">
        <f t="shared" si="20"/>
        <v>264345408</v>
      </c>
      <c r="I176" s="41">
        <f>SUM(I177:I189)</f>
        <v>49222695</v>
      </c>
      <c r="J176" s="41">
        <f>SUM(J177:J189)</f>
        <v>93475554</v>
      </c>
      <c r="K176" s="42">
        <f t="shared" si="15"/>
        <v>0.5140514705535925</v>
      </c>
      <c r="L176" s="43">
        <f t="shared" si="21"/>
        <v>265149853</v>
      </c>
    </row>
    <row r="177" spans="1:12" ht="15.75">
      <c r="A177" s="24" t="s">
        <v>28</v>
      </c>
      <c r="B177" s="25" t="s">
        <v>33</v>
      </c>
      <c r="C177" s="44">
        <v>333695258</v>
      </c>
      <c r="D177" s="44">
        <v>333653027</v>
      </c>
      <c r="E177" s="44">
        <f>F177-44686512</f>
        <v>49322588</v>
      </c>
      <c r="F177" s="44">
        <v>94009100</v>
      </c>
      <c r="G177" s="46">
        <f aca="true" t="shared" si="22" ref="G177:G208">(F177/$F$244)*100</f>
        <v>0.4451886743533368</v>
      </c>
      <c r="H177" s="44">
        <f t="shared" si="20"/>
        <v>239643927</v>
      </c>
      <c r="I177" s="44">
        <f>J177-44250824</f>
        <v>49075095</v>
      </c>
      <c r="J177" s="44">
        <v>93325919</v>
      </c>
      <c r="K177" s="46">
        <f aca="true" t="shared" si="23" ref="K177:K208">(J177/$J$244)*100</f>
        <v>0.5132285806267107</v>
      </c>
      <c r="L177" s="47">
        <f t="shared" si="21"/>
        <v>240327108</v>
      </c>
    </row>
    <row r="178" spans="1:12" ht="15.75">
      <c r="A178" s="24" t="s">
        <v>51</v>
      </c>
      <c r="B178" s="25" t="s">
        <v>58</v>
      </c>
      <c r="C178" s="44">
        <v>60000</v>
      </c>
      <c r="D178" s="44">
        <v>60000</v>
      </c>
      <c r="E178" s="44">
        <f aca="true" t="shared" si="24" ref="E178:E189">F178-0</f>
        <v>0</v>
      </c>
      <c r="F178" s="44">
        <v>0</v>
      </c>
      <c r="G178" s="46">
        <f t="shared" si="22"/>
        <v>0</v>
      </c>
      <c r="H178" s="44">
        <f t="shared" si="20"/>
        <v>60000</v>
      </c>
      <c r="I178" s="44">
        <f aca="true" t="shared" si="25" ref="I178:I189">J178-0</f>
        <v>0</v>
      </c>
      <c r="J178" s="44">
        <v>0</v>
      </c>
      <c r="K178" s="46">
        <f t="shared" si="23"/>
        <v>0</v>
      </c>
      <c r="L178" s="47">
        <f t="shared" si="21"/>
        <v>60000</v>
      </c>
    </row>
    <row r="179" spans="1:12" ht="15.75">
      <c r="A179" s="24" t="s">
        <v>94</v>
      </c>
      <c r="B179" s="25" t="s">
        <v>100</v>
      </c>
      <c r="C179" s="44">
        <v>2007167</v>
      </c>
      <c r="D179" s="44">
        <v>2007167</v>
      </c>
      <c r="E179" s="44">
        <f t="shared" si="24"/>
        <v>227664</v>
      </c>
      <c r="F179" s="44">
        <v>227664</v>
      </c>
      <c r="G179" s="46">
        <f t="shared" si="22"/>
        <v>0.0010781236535396899</v>
      </c>
      <c r="H179" s="44">
        <f t="shared" si="20"/>
        <v>1779503</v>
      </c>
      <c r="I179" s="44">
        <f t="shared" si="25"/>
        <v>107664</v>
      </c>
      <c r="J179" s="44">
        <v>107664</v>
      </c>
      <c r="K179" s="46">
        <f t="shared" si="23"/>
        <v>0.0005920781975326081</v>
      </c>
      <c r="L179" s="47">
        <f t="shared" si="21"/>
        <v>1899503</v>
      </c>
    </row>
    <row r="180" spans="1:12" ht="15.75">
      <c r="A180" s="24" t="s">
        <v>68</v>
      </c>
      <c r="B180" s="25" t="s">
        <v>76</v>
      </c>
      <c r="C180" s="44">
        <v>280000</v>
      </c>
      <c r="D180" s="44">
        <v>280000</v>
      </c>
      <c r="E180" s="44">
        <f>F180-2070</f>
        <v>5305</v>
      </c>
      <c r="F180" s="44">
        <v>7375</v>
      </c>
      <c r="G180" s="46">
        <f t="shared" si="22"/>
        <v>3.4924985701978414E-05</v>
      </c>
      <c r="H180" s="44">
        <f t="shared" si="20"/>
        <v>272625</v>
      </c>
      <c r="I180" s="44">
        <f>J180-2035</f>
        <v>5270</v>
      </c>
      <c r="J180" s="44">
        <v>7305</v>
      </c>
      <c r="K180" s="46">
        <f t="shared" si="23"/>
        <v>4.0172492504232635E-05</v>
      </c>
      <c r="L180" s="47">
        <f t="shared" si="21"/>
        <v>272695</v>
      </c>
    </row>
    <row r="181" spans="1:12" ht="15.75">
      <c r="A181" s="24" t="s">
        <v>135</v>
      </c>
      <c r="B181" s="25" t="s">
        <v>136</v>
      </c>
      <c r="C181" s="44">
        <v>60000</v>
      </c>
      <c r="D181" s="44">
        <v>60000</v>
      </c>
      <c r="E181" s="44">
        <f t="shared" si="24"/>
        <v>0</v>
      </c>
      <c r="F181" s="44">
        <v>0</v>
      </c>
      <c r="G181" s="46">
        <f t="shared" si="22"/>
        <v>0</v>
      </c>
      <c r="H181" s="44">
        <f t="shared" si="20"/>
        <v>60000</v>
      </c>
      <c r="I181" s="44">
        <f t="shared" si="25"/>
        <v>0</v>
      </c>
      <c r="J181" s="44">
        <v>0</v>
      </c>
      <c r="K181" s="46">
        <f t="shared" si="23"/>
        <v>0</v>
      </c>
      <c r="L181" s="47">
        <f t="shared" si="21"/>
        <v>60000</v>
      </c>
    </row>
    <row r="182" spans="1:12" ht="15.75">
      <c r="A182" s="24" t="s">
        <v>96</v>
      </c>
      <c r="B182" s="25" t="s">
        <v>102</v>
      </c>
      <c r="C182" s="44">
        <v>5000</v>
      </c>
      <c r="D182" s="44">
        <v>5000</v>
      </c>
      <c r="E182" s="44">
        <f t="shared" si="24"/>
        <v>0</v>
      </c>
      <c r="F182" s="44">
        <v>0</v>
      </c>
      <c r="G182" s="46">
        <f t="shared" si="22"/>
        <v>0</v>
      </c>
      <c r="H182" s="44">
        <f t="shared" si="20"/>
        <v>5000</v>
      </c>
      <c r="I182" s="44">
        <f t="shared" si="25"/>
        <v>0</v>
      </c>
      <c r="J182" s="44">
        <v>0</v>
      </c>
      <c r="K182" s="46">
        <f t="shared" si="23"/>
        <v>0</v>
      </c>
      <c r="L182" s="47">
        <f t="shared" si="21"/>
        <v>5000</v>
      </c>
    </row>
    <row r="183" spans="1:12" ht="15.75">
      <c r="A183" s="24" t="s">
        <v>97</v>
      </c>
      <c r="B183" s="25" t="s">
        <v>237</v>
      </c>
      <c r="C183" s="44">
        <v>0</v>
      </c>
      <c r="D183" s="44">
        <v>0</v>
      </c>
      <c r="E183" s="44">
        <f t="shared" si="24"/>
        <v>0</v>
      </c>
      <c r="F183" s="44">
        <v>0</v>
      </c>
      <c r="G183" s="46">
        <f t="shared" si="22"/>
        <v>0</v>
      </c>
      <c r="H183" s="44">
        <f t="shared" si="20"/>
        <v>0</v>
      </c>
      <c r="I183" s="44">
        <f t="shared" si="25"/>
        <v>0</v>
      </c>
      <c r="J183" s="44">
        <v>0</v>
      </c>
      <c r="K183" s="46">
        <f t="shared" si="23"/>
        <v>0</v>
      </c>
      <c r="L183" s="47">
        <f t="shared" si="21"/>
        <v>0</v>
      </c>
    </row>
    <row r="184" spans="1:12" ht="15.75">
      <c r="A184" s="24" t="s">
        <v>155</v>
      </c>
      <c r="B184" s="25" t="s">
        <v>156</v>
      </c>
      <c r="C184" s="44">
        <v>322179</v>
      </c>
      <c r="D184" s="44">
        <v>322179</v>
      </c>
      <c r="E184" s="44">
        <f t="shared" si="24"/>
        <v>0</v>
      </c>
      <c r="F184" s="44">
        <v>0</v>
      </c>
      <c r="G184" s="46">
        <f t="shared" si="22"/>
        <v>0</v>
      </c>
      <c r="H184" s="44">
        <f t="shared" si="20"/>
        <v>322179</v>
      </c>
      <c r="I184" s="44">
        <f t="shared" si="25"/>
        <v>0</v>
      </c>
      <c r="J184" s="44">
        <v>0</v>
      </c>
      <c r="K184" s="46">
        <f t="shared" si="23"/>
        <v>0</v>
      </c>
      <c r="L184" s="47">
        <f t="shared" si="21"/>
        <v>322179</v>
      </c>
    </row>
    <row r="185" spans="1:12" ht="15.75">
      <c r="A185" s="24" t="s">
        <v>166</v>
      </c>
      <c r="B185" s="25" t="s">
        <v>167</v>
      </c>
      <c r="C185" s="44">
        <v>155632</v>
      </c>
      <c r="D185" s="44">
        <v>155632</v>
      </c>
      <c r="E185" s="44">
        <f t="shared" si="24"/>
        <v>0</v>
      </c>
      <c r="F185" s="44">
        <v>0</v>
      </c>
      <c r="G185" s="46">
        <f t="shared" si="22"/>
        <v>0</v>
      </c>
      <c r="H185" s="44">
        <f t="shared" si="20"/>
        <v>155632</v>
      </c>
      <c r="I185" s="44">
        <f t="shared" si="25"/>
        <v>0</v>
      </c>
      <c r="J185" s="44">
        <v>0</v>
      </c>
      <c r="K185" s="46">
        <f t="shared" si="23"/>
        <v>0</v>
      </c>
      <c r="L185" s="47">
        <f t="shared" si="21"/>
        <v>155632</v>
      </c>
    </row>
    <row r="186" spans="1:12" ht="15.75">
      <c r="A186" s="24" t="s">
        <v>168</v>
      </c>
      <c r="B186" s="25" t="s">
        <v>169</v>
      </c>
      <c r="C186" s="44">
        <v>547088</v>
      </c>
      <c r="D186" s="44">
        <v>547088</v>
      </c>
      <c r="E186" s="44">
        <f t="shared" si="24"/>
        <v>0</v>
      </c>
      <c r="F186" s="44">
        <v>0</v>
      </c>
      <c r="G186" s="46">
        <f t="shared" si="22"/>
        <v>0</v>
      </c>
      <c r="H186" s="44">
        <f t="shared" si="20"/>
        <v>547088</v>
      </c>
      <c r="I186" s="44">
        <f t="shared" si="25"/>
        <v>0</v>
      </c>
      <c r="J186" s="44">
        <v>0</v>
      </c>
      <c r="K186" s="46">
        <f t="shared" si="23"/>
        <v>0</v>
      </c>
      <c r="L186" s="47">
        <f t="shared" si="21"/>
        <v>547088</v>
      </c>
    </row>
    <row r="187" spans="1:12" ht="15.75">
      <c r="A187" s="24" t="s">
        <v>170</v>
      </c>
      <c r="B187" s="25" t="s">
        <v>171</v>
      </c>
      <c r="C187" s="44">
        <v>6701105</v>
      </c>
      <c r="D187" s="44">
        <v>6701105</v>
      </c>
      <c r="E187" s="44">
        <f t="shared" si="24"/>
        <v>0</v>
      </c>
      <c r="F187" s="44">
        <v>0</v>
      </c>
      <c r="G187" s="46">
        <f t="shared" si="22"/>
        <v>0</v>
      </c>
      <c r="H187" s="44">
        <f t="shared" si="20"/>
        <v>6701105</v>
      </c>
      <c r="I187" s="44">
        <f t="shared" si="25"/>
        <v>0</v>
      </c>
      <c r="J187" s="44">
        <v>0</v>
      </c>
      <c r="K187" s="46">
        <f t="shared" si="23"/>
        <v>0</v>
      </c>
      <c r="L187" s="47">
        <f t="shared" si="21"/>
        <v>6701105</v>
      </c>
    </row>
    <row r="188" spans="1:12" ht="15.75">
      <c r="A188" s="24" t="s">
        <v>172</v>
      </c>
      <c r="B188" s="25" t="s">
        <v>173</v>
      </c>
      <c r="C188" s="44">
        <v>14827870</v>
      </c>
      <c r="D188" s="44">
        <v>14827870</v>
      </c>
      <c r="E188" s="44">
        <f>F188-7324</f>
        <v>28536</v>
      </c>
      <c r="F188" s="44">
        <v>35860</v>
      </c>
      <c r="G188" s="46">
        <f t="shared" si="22"/>
        <v>0.00016981830335904353</v>
      </c>
      <c r="H188" s="44">
        <f t="shared" si="20"/>
        <v>14792010</v>
      </c>
      <c r="I188" s="44">
        <f t="shared" si="25"/>
        <v>34666</v>
      </c>
      <c r="J188" s="44">
        <v>34666</v>
      </c>
      <c r="K188" s="46">
        <f t="shared" si="23"/>
        <v>0.0001906392368448636</v>
      </c>
      <c r="L188" s="47">
        <f t="shared" si="21"/>
        <v>14793204</v>
      </c>
    </row>
    <row r="189" spans="1:12" ht="15.75">
      <c r="A189" s="24" t="s">
        <v>244</v>
      </c>
      <c r="B189" s="25" t="s">
        <v>245</v>
      </c>
      <c r="C189" s="44">
        <v>6339</v>
      </c>
      <c r="D189" s="44">
        <v>6339</v>
      </c>
      <c r="E189" s="44">
        <f t="shared" si="24"/>
        <v>0</v>
      </c>
      <c r="F189" s="44">
        <v>0</v>
      </c>
      <c r="G189" s="46">
        <f t="shared" si="22"/>
        <v>0</v>
      </c>
      <c r="H189" s="44">
        <f t="shared" si="20"/>
        <v>6339</v>
      </c>
      <c r="I189" s="44">
        <f t="shared" si="25"/>
        <v>0</v>
      </c>
      <c r="J189" s="44">
        <v>0</v>
      </c>
      <c r="K189" s="46">
        <f t="shared" si="23"/>
        <v>0</v>
      </c>
      <c r="L189" s="47">
        <f t="shared" si="21"/>
        <v>6339</v>
      </c>
    </row>
    <row r="190" spans="1:12" ht="15.75">
      <c r="A190" s="35" t="s">
        <v>175</v>
      </c>
      <c r="B190" s="27" t="s">
        <v>174</v>
      </c>
      <c r="C190" s="41">
        <f>SUM(C191:C193)</f>
        <v>27311173</v>
      </c>
      <c r="D190" s="41">
        <f>SUM(D191:D193)</f>
        <v>27311173</v>
      </c>
      <c r="E190" s="41">
        <f>SUM(E191:E193)</f>
        <v>1562205</v>
      </c>
      <c r="F190" s="41">
        <f>SUM(F191:F193)</f>
        <v>2977239</v>
      </c>
      <c r="G190" s="42">
        <f t="shared" si="22"/>
        <v>0.014098987051711526</v>
      </c>
      <c r="H190" s="41">
        <f t="shared" si="20"/>
        <v>24333934</v>
      </c>
      <c r="I190" s="41">
        <f>SUM(I191:I193)</f>
        <v>1431111</v>
      </c>
      <c r="J190" s="41">
        <f>SUM(J191:J193)</f>
        <v>2837131</v>
      </c>
      <c r="K190" s="42">
        <f t="shared" si="23"/>
        <v>0.01560227567844299</v>
      </c>
      <c r="L190" s="43">
        <f t="shared" si="21"/>
        <v>24474042</v>
      </c>
    </row>
    <row r="191" spans="1:12" ht="15.75">
      <c r="A191" s="24" t="s">
        <v>28</v>
      </c>
      <c r="B191" s="25" t="s">
        <v>33</v>
      </c>
      <c r="C191" s="44">
        <v>9694986</v>
      </c>
      <c r="D191" s="44">
        <v>9694986</v>
      </c>
      <c r="E191" s="44">
        <f>F191-1415034</f>
        <v>1404677</v>
      </c>
      <c r="F191" s="44">
        <v>2819711</v>
      </c>
      <c r="G191" s="46">
        <f t="shared" si="22"/>
        <v>0.013352998828299831</v>
      </c>
      <c r="H191" s="44">
        <f t="shared" si="20"/>
        <v>6875275</v>
      </c>
      <c r="I191" s="44">
        <f>J191-1406020</f>
        <v>1386749</v>
      </c>
      <c r="J191" s="44">
        <v>2792769</v>
      </c>
      <c r="K191" s="46">
        <f t="shared" si="23"/>
        <v>0.015358315088097641</v>
      </c>
      <c r="L191" s="47">
        <f t="shared" si="21"/>
        <v>6902217</v>
      </c>
    </row>
    <row r="192" spans="1:12" ht="15.75">
      <c r="A192" s="24" t="s">
        <v>139</v>
      </c>
      <c r="B192" s="25" t="s">
        <v>140</v>
      </c>
      <c r="C192" s="44">
        <v>1029233</v>
      </c>
      <c r="D192" s="44">
        <v>1029233</v>
      </c>
      <c r="E192" s="44">
        <f>F192-0</f>
        <v>0</v>
      </c>
      <c r="F192" s="44">
        <v>0</v>
      </c>
      <c r="G192" s="46">
        <f t="shared" si="22"/>
        <v>0</v>
      </c>
      <c r="H192" s="44">
        <f t="shared" si="20"/>
        <v>1029233</v>
      </c>
      <c r="I192" s="44">
        <f>J192-0</f>
        <v>0</v>
      </c>
      <c r="J192" s="44">
        <v>0</v>
      </c>
      <c r="K192" s="46">
        <f t="shared" si="23"/>
        <v>0</v>
      </c>
      <c r="L192" s="47">
        <f t="shared" si="21"/>
        <v>1029233</v>
      </c>
    </row>
    <row r="193" spans="1:12" ht="15.75">
      <c r="A193" s="24" t="s">
        <v>176</v>
      </c>
      <c r="B193" s="25" t="s">
        <v>177</v>
      </c>
      <c r="C193" s="44">
        <v>16586954</v>
      </c>
      <c r="D193" s="44">
        <v>16586954</v>
      </c>
      <c r="E193" s="44">
        <f>F193-0</f>
        <v>157528</v>
      </c>
      <c r="F193" s="44">
        <v>157528</v>
      </c>
      <c r="G193" s="46">
        <f t="shared" si="22"/>
        <v>0.0007459882234116957</v>
      </c>
      <c r="H193" s="44">
        <f t="shared" si="20"/>
        <v>16429426</v>
      </c>
      <c r="I193" s="44">
        <f>J193-0</f>
        <v>44362</v>
      </c>
      <c r="J193" s="44">
        <v>44362</v>
      </c>
      <c r="K193" s="46">
        <f t="shared" si="23"/>
        <v>0.00024396059034534814</v>
      </c>
      <c r="L193" s="47">
        <f t="shared" si="21"/>
        <v>16542592</v>
      </c>
    </row>
    <row r="194" spans="1:12" ht="15.75">
      <c r="A194" s="35" t="s">
        <v>178</v>
      </c>
      <c r="B194" s="27" t="s">
        <v>179</v>
      </c>
      <c r="C194" s="41">
        <f>SUM(C195:C205)</f>
        <v>204864839</v>
      </c>
      <c r="D194" s="41">
        <f>SUM(D195:D205)</f>
        <v>192067783</v>
      </c>
      <c r="E194" s="41">
        <f>SUM(E195:E205)</f>
        <v>7217454</v>
      </c>
      <c r="F194" s="41">
        <f>SUM(F195:F205)</f>
        <v>15500010</v>
      </c>
      <c r="G194" s="42">
        <f t="shared" si="22"/>
        <v>0.0734017122210878</v>
      </c>
      <c r="H194" s="41">
        <f t="shared" si="20"/>
        <v>176567773</v>
      </c>
      <c r="I194" s="41">
        <f>SUM(I195:I205)</f>
        <v>7448649</v>
      </c>
      <c r="J194" s="41">
        <f>SUM(J195:J205)</f>
        <v>14915104</v>
      </c>
      <c r="K194" s="42">
        <f t="shared" si="23"/>
        <v>0.08202284786308696</v>
      </c>
      <c r="L194" s="43">
        <f t="shared" si="21"/>
        <v>177152679</v>
      </c>
    </row>
    <row r="195" spans="1:12" ht="15.75">
      <c r="A195" s="24" t="s">
        <v>28</v>
      </c>
      <c r="B195" s="25" t="s">
        <v>33</v>
      </c>
      <c r="C195" s="44">
        <v>87774442</v>
      </c>
      <c r="D195" s="44">
        <v>74977386</v>
      </c>
      <c r="E195" s="44">
        <f>F195-8178331</f>
        <v>7139347</v>
      </c>
      <c r="F195" s="44">
        <v>15317678</v>
      </c>
      <c r="G195" s="46">
        <f t="shared" si="22"/>
        <v>0.07253826239152669</v>
      </c>
      <c r="H195" s="44">
        <f t="shared" si="20"/>
        <v>59659708</v>
      </c>
      <c r="I195" s="44">
        <f>J195-7443429</f>
        <v>7383430</v>
      </c>
      <c r="J195" s="44">
        <v>14826859</v>
      </c>
      <c r="K195" s="46">
        <f t="shared" si="23"/>
        <v>0.08153756085404712</v>
      </c>
      <c r="L195" s="47">
        <f t="shared" si="21"/>
        <v>60150527</v>
      </c>
    </row>
    <row r="196" spans="1:12" ht="15.75">
      <c r="A196" s="24" t="s">
        <v>49</v>
      </c>
      <c r="B196" s="25" t="s">
        <v>56</v>
      </c>
      <c r="C196" s="44">
        <v>400000</v>
      </c>
      <c r="D196" s="44">
        <v>400000</v>
      </c>
      <c r="E196" s="44">
        <f aca="true" t="shared" si="26" ref="E196:E205">F196-0</f>
        <v>0</v>
      </c>
      <c r="F196" s="44">
        <v>0</v>
      </c>
      <c r="G196" s="46">
        <f t="shared" si="22"/>
        <v>0</v>
      </c>
      <c r="H196" s="44">
        <f t="shared" si="20"/>
        <v>400000</v>
      </c>
      <c r="I196" s="44">
        <f aca="true" t="shared" si="27" ref="I196:I205">J196-0</f>
        <v>0</v>
      </c>
      <c r="J196" s="44">
        <v>0</v>
      </c>
      <c r="K196" s="46">
        <f t="shared" si="23"/>
        <v>0</v>
      </c>
      <c r="L196" s="47">
        <f t="shared" si="21"/>
        <v>400000</v>
      </c>
    </row>
    <row r="197" spans="1:12" ht="15.75">
      <c r="A197" s="24" t="s">
        <v>51</v>
      </c>
      <c r="B197" s="25" t="s">
        <v>58</v>
      </c>
      <c r="C197" s="44">
        <v>30000</v>
      </c>
      <c r="D197" s="44">
        <v>30000</v>
      </c>
      <c r="E197" s="44">
        <f t="shared" si="26"/>
        <v>0</v>
      </c>
      <c r="F197" s="44">
        <v>0</v>
      </c>
      <c r="G197" s="46">
        <f t="shared" si="22"/>
        <v>0</v>
      </c>
      <c r="H197" s="44">
        <f t="shared" si="20"/>
        <v>30000</v>
      </c>
      <c r="I197" s="44">
        <f t="shared" si="27"/>
        <v>0</v>
      </c>
      <c r="J197" s="44">
        <v>0</v>
      </c>
      <c r="K197" s="46">
        <f t="shared" si="23"/>
        <v>0</v>
      </c>
      <c r="L197" s="47">
        <f t="shared" si="21"/>
        <v>30000</v>
      </c>
    </row>
    <row r="198" spans="1:12" ht="15.75">
      <c r="A198" s="24" t="s">
        <v>160</v>
      </c>
      <c r="B198" s="25" t="s">
        <v>161</v>
      </c>
      <c r="C198" s="44">
        <v>5000</v>
      </c>
      <c r="D198" s="44">
        <v>5000</v>
      </c>
      <c r="E198" s="44">
        <f t="shared" si="26"/>
        <v>0</v>
      </c>
      <c r="F198" s="44">
        <v>0</v>
      </c>
      <c r="G198" s="46">
        <f t="shared" si="22"/>
        <v>0</v>
      </c>
      <c r="H198" s="44">
        <f>D198-F198</f>
        <v>5000</v>
      </c>
      <c r="I198" s="44">
        <f t="shared" si="27"/>
        <v>0</v>
      </c>
      <c r="J198" s="44">
        <v>0</v>
      </c>
      <c r="K198" s="46">
        <f t="shared" si="23"/>
        <v>0</v>
      </c>
      <c r="L198" s="47">
        <f>D198-J198</f>
        <v>5000</v>
      </c>
    </row>
    <row r="199" spans="1:12" ht="15.75">
      <c r="A199" s="24" t="s">
        <v>97</v>
      </c>
      <c r="B199" s="25" t="s">
        <v>241</v>
      </c>
      <c r="C199" s="44">
        <v>30000</v>
      </c>
      <c r="D199" s="44">
        <v>30000</v>
      </c>
      <c r="E199" s="44">
        <f>F199-1508</f>
        <v>2728</v>
      </c>
      <c r="F199" s="44">
        <v>4236</v>
      </c>
      <c r="G199" s="46">
        <f t="shared" si="22"/>
        <v>2.0059964668960075E-05</v>
      </c>
      <c r="H199" s="44">
        <f>D199-F199</f>
        <v>25764</v>
      </c>
      <c r="I199" s="44">
        <f>J199-1508</f>
        <v>2727</v>
      </c>
      <c r="J199" s="44">
        <v>4235</v>
      </c>
      <c r="K199" s="46">
        <f t="shared" si="23"/>
        <v>2.3289596954883667E-05</v>
      </c>
      <c r="L199" s="47">
        <f>D199-J199</f>
        <v>25765</v>
      </c>
    </row>
    <row r="200" spans="1:12" ht="15.75">
      <c r="A200" s="24" t="s">
        <v>180</v>
      </c>
      <c r="B200" s="25" t="s">
        <v>181</v>
      </c>
      <c r="C200" s="44">
        <v>77427167</v>
      </c>
      <c r="D200" s="44">
        <v>77427167</v>
      </c>
      <c r="E200" s="44">
        <f>F200-102324</f>
        <v>65809</v>
      </c>
      <c r="F200" s="44">
        <v>168133</v>
      </c>
      <c r="G200" s="46">
        <f t="shared" si="22"/>
        <v>0.0007962091689533203</v>
      </c>
      <c r="H200" s="44">
        <f>D200-F200</f>
        <v>77259034</v>
      </c>
      <c r="I200" s="44">
        <f>J200-21125</f>
        <v>53639</v>
      </c>
      <c r="J200" s="44">
        <v>74764</v>
      </c>
      <c r="K200" s="46">
        <f t="shared" si="23"/>
        <v>0.0004111507501145036</v>
      </c>
      <c r="L200" s="47">
        <f>D200-J200</f>
        <v>77352403</v>
      </c>
    </row>
    <row r="201" spans="1:12" ht="15.75">
      <c r="A201" s="24" t="s">
        <v>182</v>
      </c>
      <c r="B201" s="25" t="s">
        <v>183</v>
      </c>
      <c r="C201" s="44">
        <v>32200</v>
      </c>
      <c r="D201" s="44">
        <v>32200</v>
      </c>
      <c r="E201" s="44">
        <f>F201-393</f>
        <v>70</v>
      </c>
      <c r="F201" s="44">
        <v>463</v>
      </c>
      <c r="G201" s="46">
        <f t="shared" si="22"/>
        <v>2.192578763392001E-06</v>
      </c>
      <c r="H201" s="44">
        <f>D201-F201</f>
        <v>31737</v>
      </c>
      <c r="I201" s="44">
        <f>J201-393</f>
        <v>70</v>
      </c>
      <c r="J201" s="44">
        <v>463</v>
      </c>
      <c r="K201" s="46">
        <f t="shared" si="23"/>
        <v>2.5461826186803162E-06</v>
      </c>
      <c r="L201" s="47">
        <f>D201-J201</f>
        <v>31737</v>
      </c>
    </row>
    <row r="202" spans="1:12" ht="15.75">
      <c r="A202" s="24" t="s">
        <v>184</v>
      </c>
      <c r="B202" s="25" t="s">
        <v>250</v>
      </c>
      <c r="C202" s="44">
        <v>1315000</v>
      </c>
      <c r="D202" s="44">
        <v>1315000</v>
      </c>
      <c r="E202" s="44">
        <f t="shared" si="26"/>
        <v>0</v>
      </c>
      <c r="F202" s="44">
        <v>0</v>
      </c>
      <c r="G202" s="46">
        <f t="shared" si="22"/>
        <v>0</v>
      </c>
      <c r="H202" s="44">
        <f t="shared" si="20"/>
        <v>1315000</v>
      </c>
      <c r="I202" s="44">
        <f t="shared" si="27"/>
        <v>0</v>
      </c>
      <c r="J202" s="44">
        <v>0</v>
      </c>
      <c r="K202" s="46">
        <f t="shared" si="23"/>
        <v>0</v>
      </c>
      <c r="L202" s="47">
        <f t="shared" si="21"/>
        <v>1315000</v>
      </c>
    </row>
    <row r="203" spans="1:12" ht="15.75">
      <c r="A203" s="24" t="s">
        <v>185</v>
      </c>
      <c r="B203" s="25" t="s">
        <v>186</v>
      </c>
      <c r="C203" s="44">
        <v>37803030</v>
      </c>
      <c r="D203" s="44">
        <v>37803030</v>
      </c>
      <c r="E203" s="44">
        <f t="shared" si="26"/>
        <v>0</v>
      </c>
      <c r="F203" s="44">
        <v>0</v>
      </c>
      <c r="G203" s="46">
        <f t="shared" si="22"/>
        <v>0</v>
      </c>
      <c r="H203" s="44">
        <f t="shared" si="20"/>
        <v>37803030</v>
      </c>
      <c r="I203" s="44">
        <f t="shared" si="27"/>
        <v>0</v>
      </c>
      <c r="J203" s="44">
        <v>0</v>
      </c>
      <c r="K203" s="46">
        <f t="shared" si="23"/>
        <v>0</v>
      </c>
      <c r="L203" s="47">
        <f t="shared" si="21"/>
        <v>37803030</v>
      </c>
    </row>
    <row r="204" spans="1:12" ht="15.75">
      <c r="A204" s="24" t="s">
        <v>187</v>
      </c>
      <c r="B204" s="25" t="s">
        <v>188</v>
      </c>
      <c r="C204" s="44">
        <v>28000</v>
      </c>
      <c r="D204" s="44">
        <v>28000</v>
      </c>
      <c r="E204" s="44">
        <f t="shared" si="26"/>
        <v>9500</v>
      </c>
      <c r="F204" s="44">
        <v>9500</v>
      </c>
      <c r="G204" s="46">
        <f t="shared" si="22"/>
        <v>4.4988117175429824E-05</v>
      </c>
      <c r="H204" s="44">
        <f>D204-F204</f>
        <v>18500</v>
      </c>
      <c r="I204" s="44">
        <f t="shared" si="27"/>
        <v>8783</v>
      </c>
      <c r="J204" s="44">
        <v>8783</v>
      </c>
      <c r="K204" s="46">
        <f t="shared" si="23"/>
        <v>4.830047935176937E-05</v>
      </c>
      <c r="L204" s="47">
        <f>D204-J204</f>
        <v>19217</v>
      </c>
    </row>
    <row r="205" spans="1:12" ht="15.75">
      <c r="A205" s="24" t="s">
        <v>254</v>
      </c>
      <c r="B205" s="25" t="s">
        <v>255</v>
      </c>
      <c r="C205" s="44">
        <v>20000</v>
      </c>
      <c r="D205" s="44">
        <v>20000</v>
      </c>
      <c r="E205" s="44">
        <f t="shared" si="26"/>
        <v>0</v>
      </c>
      <c r="F205" s="44">
        <v>0</v>
      </c>
      <c r="G205" s="46">
        <f t="shared" si="22"/>
        <v>0</v>
      </c>
      <c r="H205" s="44">
        <f t="shared" si="20"/>
        <v>20000</v>
      </c>
      <c r="I205" s="44">
        <f t="shared" si="27"/>
        <v>0</v>
      </c>
      <c r="J205" s="44">
        <v>0</v>
      </c>
      <c r="K205" s="46">
        <f t="shared" si="23"/>
        <v>0</v>
      </c>
      <c r="L205" s="47">
        <f t="shared" si="21"/>
        <v>20000</v>
      </c>
    </row>
    <row r="206" spans="1:12" ht="15.75">
      <c r="A206" s="35" t="s">
        <v>189</v>
      </c>
      <c r="B206" s="27" t="s">
        <v>190</v>
      </c>
      <c r="C206" s="41">
        <f>SUM(C207:C214)</f>
        <v>315908622</v>
      </c>
      <c r="D206" s="41">
        <f>SUM(D207:D214)</f>
        <v>322669222</v>
      </c>
      <c r="E206" s="41">
        <f>SUM(E207:E214)</f>
        <v>40835771</v>
      </c>
      <c r="F206" s="41">
        <f>SUM(F207:F214)</f>
        <v>81791668</v>
      </c>
      <c r="G206" s="42">
        <f t="shared" si="22"/>
        <v>0.3873319098903004</v>
      </c>
      <c r="H206" s="41">
        <f t="shared" si="20"/>
        <v>240877554</v>
      </c>
      <c r="I206" s="41">
        <f>SUM(I207:I214)</f>
        <v>36764390</v>
      </c>
      <c r="J206" s="41">
        <f>SUM(J207:J214)</f>
        <v>71259393</v>
      </c>
      <c r="K206" s="42">
        <f t="shared" si="23"/>
        <v>0.39187781398339044</v>
      </c>
      <c r="L206" s="43">
        <f t="shared" si="21"/>
        <v>251409829</v>
      </c>
    </row>
    <row r="207" spans="1:12" ht="15.75">
      <c r="A207" s="24" t="s">
        <v>28</v>
      </c>
      <c r="B207" s="25" t="s">
        <v>33</v>
      </c>
      <c r="C207" s="44">
        <v>94367150</v>
      </c>
      <c r="D207" s="44">
        <v>95268780</v>
      </c>
      <c r="E207" s="44">
        <f>F207-11889399</f>
        <v>13923133</v>
      </c>
      <c r="F207" s="44">
        <v>25812532</v>
      </c>
      <c r="G207" s="46">
        <f t="shared" si="22"/>
        <v>0.12223760149584546</v>
      </c>
      <c r="H207" s="44">
        <f t="shared" si="20"/>
        <v>69456248</v>
      </c>
      <c r="I207" s="44">
        <f>J207-9200456</f>
        <v>11571611</v>
      </c>
      <c r="J207" s="44">
        <v>20772067</v>
      </c>
      <c r="K207" s="46">
        <f t="shared" si="23"/>
        <v>0.11423212948048159</v>
      </c>
      <c r="L207" s="47">
        <f t="shared" si="21"/>
        <v>74496713</v>
      </c>
    </row>
    <row r="208" spans="1:12" ht="15.75">
      <c r="A208" s="24" t="s">
        <v>39</v>
      </c>
      <c r="B208" s="25" t="s">
        <v>41</v>
      </c>
      <c r="C208" s="44">
        <v>5000</v>
      </c>
      <c r="D208" s="44">
        <v>5000</v>
      </c>
      <c r="E208" s="44">
        <f>F208-0</f>
        <v>0</v>
      </c>
      <c r="F208" s="44">
        <v>0</v>
      </c>
      <c r="G208" s="46">
        <f t="shared" si="22"/>
        <v>0</v>
      </c>
      <c r="H208" s="44">
        <f t="shared" si="20"/>
        <v>5000</v>
      </c>
      <c r="I208" s="44">
        <f aca="true" t="shared" si="28" ref="I208:I214">J208-0</f>
        <v>0</v>
      </c>
      <c r="J208" s="44">
        <v>0</v>
      </c>
      <c r="K208" s="46">
        <f t="shared" si="23"/>
        <v>0</v>
      </c>
      <c r="L208" s="47">
        <f t="shared" si="21"/>
        <v>5000</v>
      </c>
    </row>
    <row r="209" spans="1:12" ht="15.75">
      <c r="A209" s="24" t="s">
        <v>131</v>
      </c>
      <c r="B209" s="25" t="s">
        <v>132</v>
      </c>
      <c r="C209" s="44">
        <v>10781105</v>
      </c>
      <c r="D209" s="44">
        <v>10781105</v>
      </c>
      <c r="E209" s="44">
        <f>F209-32472</f>
        <v>2878665</v>
      </c>
      <c r="F209" s="44">
        <v>2911137</v>
      </c>
      <c r="G209" s="46">
        <f aca="true" t="shared" si="29" ref="G209:G240">(F209/$F$244)*100</f>
        <v>0.013785954996813605</v>
      </c>
      <c r="H209" s="44">
        <f>D209-F209</f>
        <v>7869968</v>
      </c>
      <c r="I209" s="44">
        <f>J209-32472</f>
        <v>2878664</v>
      </c>
      <c r="J209" s="44">
        <v>2911136</v>
      </c>
      <c r="K209" s="46">
        <f aca="true" t="shared" si="30" ref="K209:K240">(J209/$J$244)*100</f>
        <v>0.0160092524488435</v>
      </c>
      <c r="L209" s="47">
        <f>D209-J209</f>
        <v>7869969</v>
      </c>
    </row>
    <row r="210" spans="1:12" ht="15.75">
      <c r="A210" s="24" t="s">
        <v>83</v>
      </c>
      <c r="B210" s="25" t="s">
        <v>85</v>
      </c>
      <c r="C210" s="44">
        <v>5500000</v>
      </c>
      <c r="D210" s="44">
        <v>5500000</v>
      </c>
      <c r="E210" s="44">
        <f>F210-0</f>
        <v>0</v>
      </c>
      <c r="F210" s="44">
        <v>0</v>
      </c>
      <c r="G210" s="46">
        <f t="shared" si="29"/>
        <v>0</v>
      </c>
      <c r="H210" s="44">
        <f>D210-F210</f>
        <v>5500000</v>
      </c>
      <c r="I210" s="44">
        <f t="shared" si="28"/>
        <v>0</v>
      </c>
      <c r="J210" s="44">
        <v>0</v>
      </c>
      <c r="K210" s="46">
        <f t="shared" si="30"/>
        <v>0</v>
      </c>
      <c r="L210" s="47">
        <f>D210-J210</f>
        <v>5500000</v>
      </c>
    </row>
    <row r="211" spans="1:12" ht="15.75">
      <c r="A211" s="24" t="s">
        <v>53</v>
      </c>
      <c r="B211" s="25" t="s">
        <v>60</v>
      </c>
      <c r="C211" s="44">
        <v>10155000</v>
      </c>
      <c r="D211" s="44">
        <v>10155000</v>
      </c>
      <c r="E211" s="44">
        <f>F211-1150422</f>
        <v>916851</v>
      </c>
      <c r="F211" s="44">
        <v>2067273</v>
      </c>
      <c r="G211" s="46">
        <f t="shared" si="29"/>
        <v>0.009789759995537089</v>
      </c>
      <c r="H211" s="44">
        <f t="shared" si="20"/>
        <v>8087727</v>
      </c>
      <c r="I211" s="44">
        <f t="shared" si="28"/>
        <v>1537868</v>
      </c>
      <c r="J211" s="44">
        <v>1537868</v>
      </c>
      <c r="K211" s="46">
        <f t="shared" si="30"/>
        <v>0.008457219808692571</v>
      </c>
      <c r="L211" s="47">
        <f t="shared" si="21"/>
        <v>8617132</v>
      </c>
    </row>
    <row r="212" spans="1:12" ht="15.75">
      <c r="A212" s="24" t="s">
        <v>191</v>
      </c>
      <c r="B212" s="25" t="s">
        <v>192</v>
      </c>
      <c r="C212" s="44">
        <v>14385679</v>
      </c>
      <c r="D212" s="44">
        <v>14385679</v>
      </c>
      <c r="E212" s="44">
        <f>F212-2269565</f>
        <v>1968583</v>
      </c>
      <c r="F212" s="44">
        <v>4238148</v>
      </c>
      <c r="G212" s="46">
        <f t="shared" si="29"/>
        <v>0.020070136719033006</v>
      </c>
      <c r="H212" s="44">
        <f t="shared" si="20"/>
        <v>10147531</v>
      </c>
      <c r="I212" s="44">
        <f>J212-573587</f>
        <v>1409274</v>
      </c>
      <c r="J212" s="44">
        <v>1982861</v>
      </c>
      <c r="K212" s="46">
        <f t="shared" si="30"/>
        <v>0.010904376270969914</v>
      </c>
      <c r="L212" s="47">
        <f t="shared" si="21"/>
        <v>12402818</v>
      </c>
    </row>
    <row r="213" spans="1:12" ht="15.75">
      <c r="A213" s="24" t="s">
        <v>54</v>
      </c>
      <c r="B213" s="25" t="s">
        <v>61</v>
      </c>
      <c r="C213" s="44">
        <v>135470500</v>
      </c>
      <c r="D213" s="44">
        <v>135470500</v>
      </c>
      <c r="E213" s="44">
        <f>F213-25614039</f>
        <v>21145557</v>
      </c>
      <c r="F213" s="44">
        <v>46759596</v>
      </c>
      <c r="G213" s="46">
        <f t="shared" si="29"/>
        <v>0.22143433514986943</v>
      </c>
      <c r="H213" s="44">
        <f t="shared" si="20"/>
        <v>88710904</v>
      </c>
      <c r="I213" s="44">
        <f>J213-24688488</f>
        <v>19363991</v>
      </c>
      <c r="J213" s="44">
        <v>44052479</v>
      </c>
      <c r="K213" s="46">
        <f t="shared" si="30"/>
        <v>0.24225843701853053</v>
      </c>
      <c r="L213" s="47">
        <f t="shared" si="21"/>
        <v>91418021</v>
      </c>
    </row>
    <row r="214" spans="1:12" ht="15.75">
      <c r="A214" s="24" t="s">
        <v>185</v>
      </c>
      <c r="B214" s="25" t="s">
        <v>186</v>
      </c>
      <c r="C214" s="44">
        <v>45244188</v>
      </c>
      <c r="D214" s="44">
        <v>51103158</v>
      </c>
      <c r="E214" s="44">
        <f>F214-0</f>
        <v>2982</v>
      </c>
      <c r="F214" s="44">
        <v>2982</v>
      </c>
      <c r="G214" s="46">
        <f t="shared" si="29"/>
        <v>1.412153320180334E-05</v>
      </c>
      <c r="H214" s="44">
        <f t="shared" si="20"/>
        <v>51100176</v>
      </c>
      <c r="I214" s="44">
        <f t="shared" si="28"/>
        <v>2982</v>
      </c>
      <c r="J214" s="44">
        <v>2982</v>
      </c>
      <c r="K214" s="46">
        <f t="shared" si="30"/>
        <v>1.639895587236437E-05</v>
      </c>
      <c r="L214" s="47">
        <f t="shared" si="21"/>
        <v>51100176</v>
      </c>
    </row>
    <row r="215" spans="1:12" ht="15.75">
      <c r="A215" s="35" t="s">
        <v>193</v>
      </c>
      <c r="B215" s="27" t="s">
        <v>194</v>
      </c>
      <c r="C215" s="41">
        <f>SUM(C216:C218)</f>
        <v>6570858</v>
      </c>
      <c r="D215" s="41">
        <f>SUM(D216:D218)</f>
        <v>6570858</v>
      </c>
      <c r="E215" s="41">
        <f>SUM(E216:E218)</f>
        <v>727463</v>
      </c>
      <c r="F215" s="41">
        <f>SUM(F216:F218)</f>
        <v>1557325</v>
      </c>
      <c r="G215" s="42">
        <f t="shared" si="29"/>
        <v>0.007374854692655394</v>
      </c>
      <c r="H215" s="41">
        <f t="shared" si="20"/>
        <v>5013533</v>
      </c>
      <c r="I215" s="41">
        <f>SUM(I216:I218)</f>
        <v>674464</v>
      </c>
      <c r="J215" s="41">
        <f>SUM(J216:J218)</f>
        <v>1419531</v>
      </c>
      <c r="K215" s="42">
        <f t="shared" si="30"/>
        <v>0.007806447427382047</v>
      </c>
      <c r="L215" s="43">
        <f t="shared" si="21"/>
        <v>5151327</v>
      </c>
    </row>
    <row r="216" spans="1:12" ht="15.75">
      <c r="A216" s="24" t="s">
        <v>28</v>
      </c>
      <c r="B216" s="25" t="s">
        <v>33</v>
      </c>
      <c r="C216" s="44">
        <v>5570858</v>
      </c>
      <c r="D216" s="44">
        <v>5570858</v>
      </c>
      <c r="E216" s="44">
        <f>F216-804862</f>
        <v>723207</v>
      </c>
      <c r="F216" s="44">
        <v>1528069</v>
      </c>
      <c r="G216" s="46">
        <f t="shared" si="29"/>
        <v>0.007236310234120197</v>
      </c>
      <c r="H216" s="44">
        <f t="shared" si="20"/>
        <v>4042789</v>
      </c>
      <c r="I216" s="44">
        <f>J216-745067</f>
        <v>674464</v>
      </c>
      <c r="J216" s="44">
        <v>1419531</v>
      </c>
      <c r="K216" s="46">
        <f t="shared" si="30"/>
        <v>0.007806447427382047</v>
      </c>
      <c r="L216" s="47">
        <f t="shared" si="21"/>
        <v>4151327</v>
      </c>
    </row>
    <row r="217" spans="1:12" ht="15.75">
      <c r="A217" s="24" t="s">
        <v>164</v>
      </c>
      <c r="B217" s="25" t="s">
        <v>165</v>
      </c>
      <c r="C217" s="44">
        <v>1000000</v>
      </c>
      <c r="D217" s="44">
        <v>1000000</v>
      </c>
      <c r="E217" s="44">
        <f>F217-25000</f>
        <v>4256</v>
      </c>
      <c r="F217" s="44">
        <v>29256</v>
      </c>
      <c r="G217" s="46">
        <f t="shared" si="29"/>
        <v>0.00013854445853519735</v>
      </c>
      <c r="H217" s="44">
        <f t="shared" si="20"/>
        <v>970744</v>
      </c>
      <c r="I217" s="44">
        <f>J217-0</f>
        <v>0</v>
      </c>
      <c r="J217" s="44">
        <v>0</v>
      </c>
      <c r="K217" s="46">
        <f t="shared" si="30"/>
        <v>0</v>
      </c>
      <c r="L217" s="47">
        <f t="shared" si="21"/>
        <v>1000000</v>
      </c>
    </row>
    <row r="218" spans="1:12" ht="15.75">
      <c r="A218" s="24" t="s">
        <v>117</v>
      </c>
      <c r="B218" s="25" t="s">
        <v>124</v>
      </c>
      <c r="C218" s="44">
        <v>0</v>
      </c>
      <c r="D218" s="44"/>
      <c r="E218" s="44">
        <f>F218-0</f>
        <v>0</v>
      </c>
      <c r="F218" s="44">
        <v>0</v>
      </c>
      <c r="G218" s="46">
        <f t="shared" si="29"/>
        <v>0</v>
      </c>
      <c r="H218" s="44">
        <f t="shared" si="20"/>
        <v>0</v>
      </c>
      <c r="I218" s="44">
        <f>J218-0</f>
        <v>0</v>
      </c>
      <c r="J218" s="44">
        <v>0</v>
      </c>
      <c r="K218" s="46">
        <f t="shared" si="30"/>
        <v>0</v>
      </c>
      <c r="L218" s="47">
        <f t="shared" si="21"/>
        <v>0</v>
      </c>
    </row>
    <row r="219" spans="1:12" ht="15.75">
      <c r="A219" s="35" t="s">
        <v>195</v>
      </c>
      <c r="B219" s="27" t="s">
        <v>196</v>
      </c>
      <c r="C219" s="41">
        <f>SUM(C220:C228)</f>
        <v>1551694301</v>
      </c>
      <c r="D219" s="41">
        <f>SUM(D220:D228)</f>
        <v>1551566556</v>
      </c>
      <c r="E219" s="41">
        <f>SUM(E220:E228)</f>
        <v>106411902</v>
      </c>
      <c r="F219" s="41">
        <f>SUM(F220:F228)</f>
        <v>206665679</v>
      </c>
      <c r="G219" s="42">
        <f t="shared" si="29"/>
        <v>0.9786841876833439</v>
      </c>
      <c r="H219" s="41">
        <f t="shared" si="20"/>
        <v>1344900877</v>
      </c>
      <c r="I219" s="41">
        <f>SUM(I220:I228)</f>
        <v>106396320</v>
      </c>
      <c r="J219" s="41">
        <f>SUM(J220:J228)</f>
        <v>190005848</v>
      </c>
      <c r="K219" s="42">
        <f t="shared" si="30"/>
        <v>1.0449019171170932</v>
      </c>
      <c r="L219" s="43">
        <f t="shared" si="21"/>
        <v>1361560708</v>
      </c>
    </row>
    <row r="220" spans="1:12" ht="15.75">
      <c r="A220" s="24" t="s">
        <v>28</v>
      </c>
      <c r="B220" s="25" t="s">
        <v>33</v>
      </c>
      <c r="C220" s="44">
        <v>481389904</v>
      </c>
      <c r="D220" s="44">
        <v>482569098</v>
      </c>
      <c r="E220" s="44">
        <f>F220-43729278</f>
        <v>44072838</v>
      </c>
      <c r="F220" s="44">
        <v>87802116</v>
      </c>
      <c r="G220" s="46">
        <f t="shared" si="29"/>
        <v>0.41579493503775594</v>
      </c>
      <c r="H220" s="44">
        <f t="shared" si="20"/>
        <v>394766982</v>
      </c>
      <c r="I220" s="44">
        <f>J220-37035191</f>
        <v>43979911</v>
      </c>
      <c r="J220" s="44">
        <v>81015102</v>
      </c>
      <c r="K220" s="46">
        <f t="shared" si="30"/>
        <v>0.44552752605402357</v>
      </c>
      <c r="L220" s="47">
        <f t="shared" si="21"/>
        <v>401553996</v>
      </c>
    </row>
    <row r="221" spans="1:12" ht="15.75">
      <c r="A221" s="24" t="s">
        <v>131</v>
      </c>
      <c r="B221" s="25" t="s">
        <v>269</v>
      </c>
      <c r="C221" s="44">
        <v>100000</v>
      </c>
      <c r="D221" s="44">
        <v>100000</v>
      </c>
      <c r="E221" s="44">
        <f aca="true" t="shared" si="31" ref="E221:E228">F221-0</f>
        <v>0</v>
      </c>
      <c r="F221" s="44">
        <v>0</v>
      </c>
      <c r="G221" s="46">
        <f t="shared" si="29"/>
        <v>0</v>
      </c>
      <c r="H221" s="44">
        <f t="shared" si="20"/>
        <v>100000</v>
      </c>
      <c r="I221" s="44">
        <f aca="true" t="shared" si="32" ref="I221:I228">J221-0</f>
        <v>0</v>
      </c>
      <c r="J221" s="44">
        <v>0</v>
      </c>
      <c r="K221" s="46">
        <f t="shared" si="30"/>
        <v>0</v>
      </c>
      <c r="L221" s="47">
        <f t="shared" si="21"/>
        <v>100000</v>
      </c>
    </row>
    <row r="222" spans="1:12" ht="15.75">
      <c r="A222" s="24" t="s">
        <v>135</v>
      </c>
      <c r="B222" s="25" t="s">
        <v>136</v>
      </c>
      <c r="C222" s="44">
        <v>3341553</v>
      </c>
      <c r="D222" s="44">
        <v>3341553</v>
      </c>
      <c r="E222" s="44">
        <f t="shared" si="31"/>
        <v>0</v>
      </c>
      <c r="F222" s="44">
        <v>0</v>
      </c>
      <c r="G222" s="46">
        <f t="shared" si="29"/>
        <v>0</v>
      </c>
      <c r="H222" s="44">
        <f t="shared" si="20"/>
        <v>3341553</v>
      </c>
      <c r="I222" s="44">
        <f t="shared" si="32"/>
        <v>0</v>
      </c>
      <c r="J222" s="44">
        <v>0</v>
      </c>
      <c r="K222" s="46">
        <f t="shared" si="30"/>
        <v>0</v>
      </c>
      <c r="L222" s="47">
        <f t="shared" si="21"/>
        <v>3341553</v>
      </c>
    </row>
    <row r="223" spans="1:12" ht="15.75">
      <c r="A223" s="24" t="s">
        <v>151</v>
      </c>
      <c r="B223" s="25" t="s">
        <v>152</v>
      </c>
      <c r="C223" s="44">
        <v>455257899</v>
      </c>
      <c r="D223" s="44">
        <v>455257899</v>
      </c>
      <c r="E223" s="44">
        <f>F223-45688749</f>
        <v>53210678</v>
      </c>
      <c r="F223" s="44">
        <v>98899427</v>
      </c>
      <c r="G223" s="46">
        <f t="shared" si="29"/>
        <v>0.4683472642588282</v>
      </c>
      <c r="H223" s="44">
        <f t="shared" si="20"/>
        <v>356358472</v>
      </c>
      <c r="I223" s="44">
        <f>J223-45500000</f>
        <v>52091988</v>
      </c>
      <c r="J223" s="44">
        <v>97591988</v>
      </c>
      <c r="K223" s="46">
        <f t="shared" si="30"/>
        <v>0.5366890357841425</v>
      </c>
      <c r="L223" s="47">
        <f t="shared" si="21"/>
        <v>357665911</v>
      </c>
    </row>
    <row r="224" spans="1:12" ht="15.75">
      <c r="A224" s="24" t="s">
        <v>70</v>
      </c>
      <c r="B224" s="25" t="s">
        <v>78</v>
      </c>
      <c r="C224" s="44">
        <v>38549709</v>
      </c>
      <c r="D224" s="44">
        <v>38549709</v>
      </c>
      <c r="E224" s="44">
        <f t="shared" si="31"/>
        <v>0</v>
      </c>
      <c r="F224" s="44">
        <v>0</v>
      </c>
      <c r="G224" s="46">
        <f t="shared" si="29"/>
        <v>0</v>
      </c>
      <c r="H224" s="44">
        <f t="shared" si="20"/>
        <v>38549709</v>
      </c>
      <c r="I224" s="44">
        <f t="shared" si="32"/>
        <v>0</v>
      </c>
      <c r="J224" s="44">
        <v>0</v>
      </c>
      <c r="K224" s="46">
        <f t="shared" si="30"/>
        <v>0</v>
      </c>
      <c r="L224" s="47">
        <f t="shared" si="21"/>
        <v>38549709</v>
      </c>
    </row>
    <row r="225" spans="1:12" ht="15.75">
      <c r="A225" s="24" t="s">
        <v>71</v>
      </c>
      <c r="B225" s="25" t="s">
        <v>79</v>
      </c>
      <c r="C225" s="44">
        <v>141185229</v>
      </c>
      <c r="D225" s="44">
        <v>139878290</v>
      </c>
      <c r="E225" s="44">
        <f>F225-10835750</f>
        <v>8299795</v>
      </c>
      <c r="F225" s="44">
        <v>19135545</v>
      </c>
      <c r="G225" s="46">
        <f t="shared" si="29"/>
        <v>0.09061812007112739</v>
      </c>
      <c r="H225" s="44">
        <f t="shared" si="20"/>
        <v>120742745</v>
      </c>
      <c r="I225" s="44">
        <f>J225-1074337</f>
        <v>10240433</v>
      </c>
      <c r="J225" s="44">
        <v>11314770</v>
      </c>
      <c r="K225" s="46">
        <f t="shared" si="30"/>
        <v>0.0622234788517613</v>
      </c>
      <c r="L225" s="47">
        <f t="shared" si="21"/>
        <v>128563520</v>
      </c>
    </row>
    <row r="226" spans="1:12" ht="15.75">
      <c r="A226" s="24" t="s">
        <v>197</v>
      </c>
      <c r="B226" s="25" t="s">
        <v>198</v>
      </c>
      <c r="C226" s="44">
        <v>386853990</v>
      </c>
      <c r="D226" s="44">
        <v>386853990</v>
      </c>
      <c r="E226" s="44">
        <f t="shared" si="31"/>
        <v>828591</v>
      </c>
      <c r="F226" s="44">
        <v>828591</v>
      </c>
      <c r="G226" s="46">
        <f t="shared" si="29"/>
        <v>0.003923868315632271</v>
      </c>
      <c r="H226" s="44">
        <f t="shared" si="20"/>
        <v>386025399</v>
      </c>
      <c r="I226" s="44">
        <f t="shared" si="32"/>
        <v>83988</v>
      </c>
      <c r="J226" s="44">
        <v>83988</v>
      </c>
      <c r="K226" s="46">
        <f t="shared" si="30"/>
        <v>0.00046187642716570706</v>
      </c>
      <c r="L226" s="47">
        <f t="shared" si="21"/>
        <v>386770002</v>
      </c>
    </row>
    <row r="227" spans="1:12" ht="15.75">
      <c r="A227" s="24" t="s">
        <v>199</v>
      </c>
      <c r="B227" s="25" t="s">
        <v>200</v>
      </c>
      <c r="C227" s="44">
        <v>6873935</v>
      </c>
      <c r="D227" s="44">
        <v>6873935</v>
      </c>
      <c r="E227" s="44">
        <f t="shared" si="31"/>
        <v>0</v>
      </c>
      <c r="F227" s="44">
        <v>0</v>
      </c>
      <c r="G227" s="46">
        <f t="shared" si="29"/>
        <v>0</v>
      </c>
      <c r="H227" s="44">
        <f t="shared" si="20"/>
        <v>6873935</v>
      </c>
      <c r="I227" s="44">
        <f t="shared" si="32"/>
        <v>0</v>
      </c>
      <c r="J227" s="44">
        <v>0</v>
      </c>
      <c r="K227" s="46">
        <f t="shared" si="30"/>
        <v>0</v>
      </c>
      <c r="L227" s="47">
        <f t="shared" si="21"/>
        <v>6873935</v>
      </c>
    </row>
    <row r="228" spans="1:12" ht="15.75">
      <c r="A228" s="24" t="s">
        <v>201</v>
      </c>
      <c r="B228" s="25" t="s">
        <v>202</v>
      </c>
      <c r="C228" s="44">
        <v>38142082</v>
      </c>
      <c r="D228" s="44">
        <v>38142082</v>
      </c>
      <c r="E228" s="44">
        <f t="shared" si="31"/>
        <v>0</v>
      </c>
      <c r="F228" s="44">
        <v>0</v>
      </c>
      <c r="G228" s="46">
        <f t="shared" si="29"/>
        <v>0</v>
      </c>
      <c r="H228" s="44">
        <f t="shared" si="20"/>
        <v>38142082</v>
      </c>
      <c r="I228" s="44">
        <f t="shared" si="32"/>
        <v>0</v>
      </c>
      <c r="J228" s="44">
        <v>0</v>
      </c>
      <c r="K228" s="46">
        <f t="shared" si="30"/>
        <v>0</v>
      </c>
      <c r="L228" s="47">
        <f t="shared" si="21"/>
        <v>38142082</v>
      </c>
    </row>
    <row r="229" spans="1:12" ht="15.75">
      <c r="A229" s="35" t="s">
        <v>203</v>
      </c>
      <c r="B229" s="27" t="s">
        <v>204</v>
      </c>
      <c r="C229" s="41">
        <f>SUM(C230:C233)</f>
        <v>35377947</v>
      </c>
      <c r="D229" s="41">
        <f>SUM(D230:D233)</f>
        <v>34501051</v>
      </c>
      <c r="E229" s="41">
        <f>SUM(E230:E233)</f>
        <v>3320564</v>
      </c>
      <c r="F229" s="41">
        <f>SUM(F230:F233)</f>
        <v>7224223</v>
      </c>
      <c r="G229" s="42">
        <f t="shared" si="29"/>
        <v>0.034210967455308966</v>
      </c>
      <c r="H229" s="41">
        <f t="shared" si="20"/>
        <v>27276828</v>
      </c>
      <c r="I229" s="41">
        <f>SUM(I230:I233)</f>
        <v>3298455</v>
      </c>
      <c r="J229" s="41">
        <f>SUM(J230:J233)</f>
        <v>6599806</v>
      </c>
      <c r="K229" s="42">
        <f t="shared" si="30"/>
        <v>0.03629440890682951</v>
      </c>
      <c r="L229" s="43">
        <f t="shared" si="21"/>
        <v>27901245</v>
      </c>
    </row>
    <row r="230" spans="1:12" ht="15.75">
      <c r="A230" s="24" t="s">
        <v>28</v>
      </c>
      <c r="B230" s="25" t="s">
        <v>33</v>
      </c>
      <c r="C230" s="44">
        <v>9570000</v>
      </c>
      <c r="D230" s="44">
        <v>9982500</v>
      </c>
      <c r="E230" s="44">
        <f>F230-1621238</f>
        <v>1355761</v>
      </c>
      <c r="F230" s="44">
        <v>2976999</v>
      </c>
      <c r="G230" s="46">
        <f t="shared" si="29"/>
        <v>0.014097850509803937</v>
      </c>
      <c r="H230" s="44">
        <f t="shared" si="20"/>
        <v>7005501</v>
      </c>
      <c r="I230" s="44">
        <f>J230-1595346</f>
        <v>1340534</v>
      </c>
      <c r="J230" s="44">
        <v>2935880</v>
      </c>
      <c r="K230" s="46">
        <f t="shared" si="30"/>
        <v>0.01614532748710835</v>
      </c>
      <c r="L230" s="47">
        <f t="shared" si="21"/>
        <v>7046620</v>
      </c>
    </row>
    <row r="231" spans="1:12" ht="15.75">
      <c r="A231" s="24" t="s">
        <v>205</v>
      </c>
      <c r="B231" s="25" t="s">
        <v>206</v>
      </c>
      <c r="C231" s="44">
        <v>481105</v>
      </c>
      <c r="D231" s="44">
        <v>481105</v>
      </c>
      <c r="E231" s="44">
        <f>F231-0</f>
        <v>0</v>
      </c>
      <c r="F231" s="44">
        <v>0</v>
      </c>
      <c r="G231" s="46">
        <f t="shared" si="29"/>
        <v>0</v>
      </c>
      <c r="H231" s="44">
        <f t="shared" si="20"/>
        <v>481105</v>
      </c>
      <c r="I231" s="44">
        <f>J231-0</f>
        <v>0</v>
      </c>
      <c r="J231" s="44">
        <v>0</v>
      </c>
      <c r="K231" s="46">
        <f t="shared" si="30"/>
        <v>0</v>
      </c>
      <c r="L231" s="47">
        <f t="shared" si="21"/>
        <v>481105</v>
      </c>
    </row>
    <row r="232" spans="1:12" ht="15.75">
      <c r="A232" s="24" t="s">
        <v>207</v>
      </c>
      <c r="B232" s="25" t="s">
        <v>208</v>
      </c>
      <c r="C232" s="44">
        <v>18693818</v>
      </c>
      <c r="D232" s="44">
        <v>17404422</v>
      </c>
      <c r="E232" s="44">
        <f>F232-995100</f>
        <v>1144351</v>
      </c>
      <c r="F232" s="44">
        <v>2139451</v>
      </c>
      <c r="G232" s="46">
        <f t="shared" si="29"/>
        <v>0.010131565503062158</v>
      </c>
      <c r="H232" s="44">
        <f t="shared" si="20"/>
        <v>15264971</v>
      </c>
      <c r="I232" s="44">
        <f>J232-995100</f>
        <v>978680</v>
      </c>
      <c r="J232" s="44">
        <v>1973780</v>
      </c>
      <c r="K232" s="46">
        <f t="shared" si="30"/>
        <v>0.010854436995893812</v>
      </c>
      <c r="L232" s="47">
        <f t="shared" si="21"/>
        <v>15430642</v>
      </c>
    </row>
    <row r="233" spans="1:12" ht="15.75">
      <c r="A233" s="24" t="s">
        <v>209</v>
      </c>
      <c r="B233" s="25" t="s">
        <v>210</v>
      </c>
      <c r="C233" s="44">
        <v>6633024</v>
      </c>
      <c r="D233" s="44">
        <v>6633024</v>
      </c>
      <c r="E233" s="44">
        <f>F233-1287321</f>
        <v>820452</v>
      </c>
      <c r="F233" s="44">
        <v>2107773</v>
      </c>
      <c r="G233" s="46">
        <f t="shared" si="29"/>
        <v>0.009981551442442869</v>
      </c>
      <c r="H233" s="44">
        <f t="shared" si="20"/>
        <v>4525251</v>
      </c>
      <c r="I233" s="44">
        <f>J233-710905</f>
        <v>979241</v>
      </c>
      <c r="J233" s="44">
        <v>1690146</v>
      </c>
      <c r="K233" s="46">
        <f t="shared" si="30"/>
        <v>0.009294644423827348</v>
      </c>
      <c r="L233" s="47">
        <f aca="true" t="shared" si="33" ref="L233:L327">D233-J233</f>
        <v>4942878</v>
      </c>
    </row>
    <row r="234" spans="1:12" ht="15.75">
      <c r="A234" s="35" t="s">
        <v>211</v>
      </c>
      <c r="B234" s="27" t="s">
        <v>212</v>
      </c>
      <c r="C234" s="41">
        <f>SUM(C235:C239)</f>
        <v>5326556036</v>
      </c>
      <c r="D234" s="41">
        <f>SUM(D235:D239)</f>
        <v>5238979115</v>
      </c>
      <c r="E234" s="41">
        <f>SUM(E235:E239)</f>
        <v>229990537</v>
      </c>
      <c r="F234" s="41">
        <f>SUM(F235:F239)</f>
        <v>1150242991</v>
      </c>
      <c r="G234" s="42">
        <f t="shared" si="29"/>
        <v>5.447080679928934</v>
      </c>
      <c r="H234" s="41">
        <f t="shared" si="20"/>
        <v>4088736124</v>
      </c>
      <c r="I234" s="41">
        <f>SUM(I235:I239)</f>
        <v>227040258</v>
      </c>
      <c r="J234" s="41">
        <f>SUM(J235:J239)</f>
        <v>1147292710</v>
      </c>
      <c r="K234" s="42">
        <f t="shared" si="30"/>
        <v>6.30932344868388</v>
      </c>
      <c r="L234" s="43">
        <f t="shared" si="33"/>
        <v>4091686405</v>
      </c>
    </row>
    <row r="235" spans="1:12" ht="15.75">
      <c r="A235" s="24" t="s">
        <v>39</v>
      </c>
      <c r="B235" s="25" t="s">
        <v>41</v>
      </c>
      <c r="C235" s="44">
        <v>3284408595</v>
      </c>
      <c r="D235" s="44">
        <v>3196831672</v>
      </c>
      <c r="E235" s="44">
        <f>F235-37579900</f>
        <v>69973433</v>
      </c>
      <c r="F235" s="44">
        <v>107553333</v>
      </c>
      <c r="G235" s="46">
        <f t="shared" si="29"/>
        <v>0.5093286260644235</v>
      </c>
      <c r="H235" s="44">
        <f aca="true" t="shared" si="34" ref="H235:H320">D235-F235</f>
        <v>3089278339</v>
      </c>
      <c r="I235" s="44">
        <f>J235-37579900</f>
        <v>69973436</v>
      </c>
      <c r="J235" s="44">
        <v>107553336</v>
      </c>
      <c r="K235" s="46">
        <f t="shared" si="30"/>
        <v>0.591469621391542</v>
      </c>
      <c r="L235" s="47">
        <f t="shared" si="33"/>
        <v>3089278336</v>
      </c>
    </row>
    <row r="236" spans="1:12" ht="15.75">
      <c r="A236" s="24" t="s">
        <v>213</v>
      </c>
      <c r="B236" s="25" t="s">
        <v>214</v>
      </c>
      <c r="C236" s="44">
        <v>13127578</v>
      </c>
      <c r="D236" s="44">
        <v>13127580</v>
      </c>
      <c r="E236" s="44">
        <f>F236-1622658</f>
        <v>4394302</v>
      </c>
      <c r="F236" s="44">
        <v>6016960</v>
      </c>
      <c r="G236" s="46">
        <f t="shared" si="29"/>
        <v>0.028493863317881497</v>
      </c>
      <c r="H236" s="44">
        <f t="shared" si="34"/>
        <v>7110620</v>
      </c>
      <c r="I236" s="44">
        <f>J236-1622658</f>
        <v>4394302</v>
      </c>
      <c r="J236" s="44">
        <v>6016960</v>
      </c>
      <c r="K236" s="46">
        <f t="shared" si="30"/>
        <v>0.03308915544124128</v>
      </c>
      <c r="L236" s="47">
        <f t="shared" si="33"/>
        <v>7110620</v>
      </c>
    </row>
    <row r="237" spans="1:12" ht="15.75">
      <c r="A237" s="24" t="s">
        <v>215</v>
      </c>
      <c r="B237" s="25" t="s">
        <v>216</v>
      </c>
      <c r="C237" s="44">
        <v>800954509</v>
      </c>
      <c r="D237" s="44">
        <v>800954509</v>
      </c>
      <c r="E237" s="44">
        <f>F237-83457488</f>
        <v>80206937</v>
      </c>
      <c r="F237" s="44">
        <v>163664425</v>
      </c>
      <c r="G237" s="46">
        <f t="shared" si="29"/>
        <v>0.7750478241420364</v>
      </c>
      <c r="H237" s="44">
        <f t="shared" si="34"/>
        <v>637290084</v>
      </c>
      <c r="I237" s="44">
        <f>J237-83457483</f>
        <v>80206940</v>
      </c>
      <c r="J237" s="44">
        <v>163664423</v>
      </c>
      <c r="K237" s="46">
        <f t="shared" si="30"/>
        <v>0.9000421363692073</v>
      </c>
      <c r="L237" s="47">
        <f t="shared" si="33"/>
        <v>637290086</v>
      </c>
    </row>
    <row r="238" spans="1:12" ht="15.75">
      <c r="A238" s="24" t="s">
        <v>217</v>
      </c>
      <c r="B238" s="25" t="s">
        <v>218</v>
      </c>
      <c r="C238" s="44">
        <v>10000</v>
      </c>
      <c r="D238" s="44">
        <v>10000</v>
      </c>
      <c r="E238" s="44">
        <f>F238-0</f>
        <v>0</v>
      </c>
      <c r="F238" s="44">
        <v>0</v>
      </c>
      <c r="G238" s="46">
        <f t="shared" si="29"/>
        <v>0</v>
      </c>
      <c r="H238" s="44">
        <f t="shared" si="34"/>
        <v>10000</v>
      </c>
      <c r="I238" s="44">
        <f>J238-0</f>
        <v>0</v>
      </c>
      <c r="J238" s="44">
        <v>0</v>
      </c>
      <c r="K238" s="46">
        <f t="shared" si="30"/>
        <v>0</v>
      </c>
      <c r="L238" s="47">
        <f t="shared" si="33"/>
        <v>10000</v>
      </c>
    </row>
    <row r="239" spans="1:12" ht="15.75">
      <c r="A239" s="24" t="s">
        <v>219</v>
      </c>
      <c r="B239" s="25" t="s">
        <v>220</v>
      </c>
      <c r="C239" s="44">
        <v>1228055354</v>
      </c>
      <c r="D239" s="44">
        <v>1228055354</v>
      </c>
      <c r="E239" s="44">
        <f>F239-797592408</f>
        <v>75415865</v>
      </c>
      <c r="F239" s="44">
        <v>873008273</v>
      </c>
      <c r="G239" s="46">
        <f t="shared" si="29"/>
        <v>4.134210366404592</v>
      </c>
      <c r="H239" s="44">
        <f t="shared" si="34"/>
        <v>355047081</v>
      </c>
      <c r="I239" s="44">
        <f>J239-797592411</f>
        <v>72465580</v>
      </c>
      <c r="J239" s="44">
        <v>870057991</v>
      </c>
      <c r="K239" s="46">
        <f t="shared" si="30"/>
        <v>4.784722535481889</v>
      </c>
      <c r="L239" s="47">
        <f t="shared" si="33"/>
        <v>357997363</v>
      </c>
    </row>
    <row r="240" spans="1:12" ht="15.75">
      <c r="A240" s="35" t="s">
        <v>221</v>
      </c>
      <c r="B240" s="27" t="s">
        <v>222</v>
      </c>
      <c r="C240" s="41">
        <f>SUM(C241:C242)</f>
        <v>343800293</v>
      </c>
      <c r="D240" s="41">
        <f>SUM(D241:D242)</f>
        <v>343800293</v>
      </c>
      <c r="E240" s="41">
        <f>SUM(E241:E242)</f>
        <v>0</v>
      </c>
      <c r="F240" s="41">
        <f>SUM(F241:F242)</f>
        <v>0</v>
      </c>
      <c r="G240" s="42">
        <f t="shared" si="29"/>
        <v>0</v>
      </c>
      <c r="H240" s="41">
        <f t="shared" si="34"/>
        <v>343800293</v>
      </c>
      <c r="I240" s="41">
        <f>SUM(I241:I242)</f>
        <v>0</v>
      </c>
      <c r="J240" s="41">
        <f>J241+J242</f>
        <v>0</v>
      </c>
      <c r="K240" s="42">
        <f t="shared" si="30"/>
        <v>0</v>
      </c>
      <c r="L240" s="43">
        <f t="shared" si="33"/>
        <v>343800293</v>
      </c>
    </row>
    <row r="241" spans="1:12" ht="15.75">
      <c r="A241" s="24" t="s">
        <v>246</v>
      </c>
      <c r="B241" s="60" t="s">
        <v>247</v>
      </c>
      <c r="C241" s="44">
        <v>343500293</v>
      </c>
      <c r="D241" s="61">
        <v>343500293</v>
      </c>
      <c r="E241" s="44">
        <f>F241-0</f>
        <v>0</v>
      </c>
      <c r="F241" s="44">
        <v>0</v>
      </c>
      <c r="G241" s="46">
        <f>(F241/$F$244)*100</f>
        <v>0</v>
      </c>
      <c r="H241" s="44">
        <f t="shared" si="34"/>
        <v>343500293</v>
      </c>
      <c r="I241" s="44">
        <f>J241-0</f>
        <v>0</v>
      </c>
      <c r="J241" s="44">
        <v>0</v>
      </c>
      <c r="K241" s="46">
        <f>(J241/$J$244)*100</f>
        <v>0</v>
      </c>
      <c r="L241" s="47">
        <f t="shared" si="33"/>
        <v>343500293</v>
      </c>
    </row>
    <row r="242" spans="1:12" ht="15.75">
      <c r="A242" s="24" t="s">
        <v>223</v>
      </c>
      <c r="B242" s="25" t="s">
        <v>224</v>
      </c>
      <c r="C242" s="44">
        <v>300000</v>
      </c>
      <c r="D242" s="44">
        <v>300000</v>
      </c>
      <c r="E242" s="44">
        <f>F242-0</f>
        <v>0</v>
      </c>
      <c r="F242" s="44">
        <v>0</v>
      </c>
      <c r="G242" s="46">
        <f>(F242/$F$244)*100</f>
        <v>0</v>
      </c>
      <c r="H242" s="44">
        <f t="shared" si="34"/>
        <v>300000</v>
      </c>
      <c r="I242" s="44">
        <f>J242-0</f>
        <v>0</v>
      </c>
      <c r="J242" s="44">
        <v>0</v>
      </c>
      <c r="K242" s="46">
        <f>(J242/$J$244)*100</f>
        <v>0</v>
      </c>
      <c r="L242" s="47">
        <f t="shared" si="33"/>
        <v>300000</v>
      </c>
    </row>
    <row r="243" spans="1:12" ht="15.75">
      <c r="A243" s="35"/>
      <c r="B243" s="27" t="s">
        <v>16</v>
      </c>
      <c r="C243" s="41">
        <f>C274</f>
        <v>5507654646</v>
      </c>
      <c r="D243" s="41">
        <f>D274</f>
        <v>5597141957</v>
      </c>
      <c r="E243" s="41">
        <f>E274</f>
        <v>778155661</v>
      </c>
      <c r="F243" s="41">
        <f>F274</f>
        <v>1841329355</v>
      </c>
      <c r="G243" s="42">
        <f>(F243/$F$244)*100</f>
        <v>8.719783240136698</v>
      </c>
      <c r="H243" s="41">
        <f>D243-F243</f>
        <v>3755812602</v>
      </c>
      <c r="I243" s="41">
        <f>I274</f>
        <v>819664061</v>
      </c>
      <c r="J243" s="41">
        <f>J274</f>
        <v>1638137019</v>
      </c>
      <c r="K243" s="42">
        <f>(J243/$J$244)*100</f>
        <v>9.008630679901914</v>
      </c>
      <c r="L243" s="43">
        <f t="shared" si="33"/>
        <v>3959004938</v>
      </c>
    </row>
    <row r="244" spans="1:12" ht="15.75">
      <c r="A244" s="89" t="s">
        <v>225</v>
      </c>
      <c r="B244" s="90"/>
      <c r="C244" s="62">
        <f aca="true" t="shared" si="35" ref="C244:L244">C16+C243</f>
        <v>80373868770</v>
      </c>
      <c r="D244" s="62">
        <f t="shared" si="35"/>
        <v>80461389569</v>
      </c>
      <c r="E244" s="62">
        <f t="shared" si="35"/>
        <v>7816155848</v>
      </c>
      <c r="F244" s="62">
        <f t="shared" si="35"/>
        <v>21116687242</v>
      </c>
      <c r="G244" s="63">
        <f t="shared" si="35"/>
        <v>100</v>
      </c>
      <c r="H244" s="62">
        <f t="shared" si="35"/>
        <v>59344702327</v>
      </c>
      <c r="I244" s="62">
        <f t="shared" si="35"/>
        <v>7831636811</v>
      </c>
      <c r="J244" s="62">
        <f t="shared" si="35"/>
        <v>18184084543</v>
      </c>
      <c r="K244" s="63">
        <f t="shared" si="35"/>
        <v>100</v>
      </c>
      <c r="L244" s="64">
        <f t="shared" si="35"/>
        <v>62277305026</v>
      </c>
    </row>
    <row r="245" spans="1:12" ht="15.75">
      <c r="A245" s="65" t="s">
        <v>265</v>
      </c>
      <c r="B245" s="66"/>
      <c r="C245" s="67"/>
      <c r="D245" s="67"/>
      <c r="E245" s="67"/>
      <c r="F245" s="68"/>
      <c r="G245" s="69"/>
      <c r="H245" s="68"/>
      <c r="I245" s="68"/>
      <c r="J245" s="68"/>
      <c r="K245" s="69"/>
      <c r="L245" s="56" t="s">
        <v>226</v>
      </c>
    </row>
    <row r="246" spans="1:12" ht="15.75">
      <c r="A246" s="65" t="s">
        <v>266</v>
      </c>
      <c r="B246" s="66"/>
      <c r="C246" s="67"/>
      <c r="D246" s="67"/>
      <c r="E246" s="67"/>
      <c r="F246" s="68"/>
      <c r="G246" s="69"/>
      <c r="H246" s="68"/>
      <c r="I246" s="68"/>
      <c r="J246" s="68"/>
      <c r="K246" s="69"/>
      <c r="L246" s="68"/>
    </row>
    <row r="247" spans="1:12" ht="15.75">
      <c r="A247" s="65" t="s">
        <v>263</v>
      </c>
      <c r="B247" s="66"/>
      <c r="C247" s="67"/>
      <c r="D247" s="67"/>
      <c r="E247" s="67"/>
      <c r="F247" s="68"/>
      <c r="G247" s="69"/>
      <c r="H247" s="68"/>
      <c r="I247" s="68"/>
      <c r="J247" s="68"/>
      <c r="K247" s="69"/>
      <c r="L247" s="68"/>
    </row>
    <row r="248" spans="1:12" ht="15.75">
      <c r="A248" s="65" t="s">
        <v>264</v>
      </c>
      <c r="B248" s="66"/>
      <c r="C248" s="67"/>
      <c r="D248" s="67"/>
      <c r="E248" s="67"/>
      <c r="F248" s="68"/>
      <c r="G248" s="69"/>
      <c r="H248" s="68"/>
      <c r="I248" s="68"/>
      <c r="J248" s="68"/>
      <c r="K248" s="69"/>
      <c r="L248" s="68"/>
    </row>
    <row r="249" spans="1:12" ht="15.75">
      <c r="A249" s="65"/>
      <c r="B249" s="66"/>
      <c r="C249" s="77"/>
      <c r="D249" s="67"/>
      <c r="E249" s="67"/>
      <c r="F249" s="68"/>
      <c r="G249" s="69"/>
      <c r="H249" s="68"/>
      <c r="I249" s="68"/>
      <c r="J249" s="68"/>
      <c r="K249" s="69"/>
      <c r="L249" s="68"/>
    </row>
    <row r="250" spans="1:12" ht="15">
      <c r="A250" s="65"/>
      <c r="B250" s="66"/>
      <c r="C250" s="77"/>
      <c r="D250" s="77"/>
      <c r="E250" s="77"/>
      <c r="F250" s="77"/>
      <c r="G250" s="77"/>
      <c r="H250" s="77"/>
      <c r="I250" s="77"/>
      <c r="J250" s="77"/>
      <c r="K250" s="77"/>
      <c r="L250" s="77"/>
    </row>
    <row r="251" spans="1:12" ht="15">
      <c r="A251" s="65"/>
      <c r="B251" s="66"/>
      <c r="C251" s="77"/>
      <c r="D251" s="77"/>
      <c r="E251" s="77"/>
      <c r="F251" s="77"/>
      <c r="G251" s="77"/>
      <c r="H251" s="77"/>
      <c r="I251" s="77"/>
      <c r="J251" s="77"/>
      <c r="K251" s="77"/>
      <c r="L251" s="77"/>
    </row>
    <row r="252" spans="1:12" ht="15">
      <c r="A252" s="65"/>
      <c r="B252" s="66"/>
      <c r="C252" s="77"/>
      <c r="D252" s="77"/>
      <c r="E252" s="77"/>
      <c r="F252" s="77"/>
      <c r="G252" s="77"/>
      <c r="H252" s="77"/>
      <c r="I252" s="77"/>
      <c r="J252" s="77"/>
      <c r="K252" s="77"/>
      <c r="L252" s="77"/>
    </row>
    <row r="253" spans="1:12" ht="15.75">
      <c r="A253" s="65"/>
      <c r="B253" s="66"/>
      <c r="C253" s="67"/>
      <c r="D253" s="67"/>
      <c r="E253" s="67"/>
      <c r="F253" s="68"/>
      <c r="G253" s="69"/>
      <c r="H253" s="68"/>
      <c r="I253" s="68"/>
      <c r="J253" s="68"/>
      <c r="K253" s="69"/>
      <c r="L253" s="68"/>
    </row>
    <row r="254" spans="1:12" ht="15.75">
      <c r="A254" s="65"/>
      <c r="B254" s="66"/>
      <c r="C254" s="67"/>
      <c r="D254" s="67"/>
      <c r="E254" s="67"/>
      <c r="F254" s="68"/>
      <c r="G254" s="69"/>
      <c r="H254" s="68"/>
      <c r="I254" s="68"/>
      <c r="J254" s="68"/>
      <c r="K254" s="69"/>
      <c r="L254" s="68"/>
    </row>
    <row r="255" spans="1:12" ht="15.75">
      <c r="A255" s="65"/>
      <c r="B255" s="66"/>
      <c r="C255" s="67"/>
      <c r="D255" s="67"/>
      <c r="E255" s="67"/>
      <c r="F255" s="68"/>
      <c r="G255" s="69"/>
      <c r="H255" s="68"/>
      <c r="I255" s="68"/>
      <c r="J255" s="68"/>
      <c r="K255" s="69"/>
      <c r="L255" s="68"/>
    </row>
    <row r="256" spans="1:12" ht="15.75">
      <c r="A256" s="65"/>
      <c r="B256" s="66"/>
      <c r="C256" s="67"/>
      <c r="D256" s="67"/>
      <c r="E256" s="67"/>
      <c r="F256" s="68"/>
      <c r="G256" s="69"/>
      <c r="H256" s="68"/>
      <c r="I256" s="68"/>
      <c r="J256" s="68"/>
      <c r="K256" s="69"/>
      <c r="L256" s="68"/>
    </row>
    <row r="257" spans="1:12" ht="15.75">
      <c r="A257" s="65"/>
      <c r="B257" s="66"/>
      <c r="C257" s="67"/>
      <c r="D257" s="67"/>
      <c r="E257" s="67"/>
      <c r="F257" s="68"/>
      <c r="G257" s="69"/>
      <c r="H257" s="68"/>
      <c r="I257" s="68"/>
      <c r="J257" s="68"/>
      <c r="K257" s="69"/>
      <c r="L257" s="68"/>
    </row>
    <row r="258" spans="1:12" ht="15.75">
      <c r="A258" s="65"/>
      <c r="B258" s="66"/>
      <c r="C258" s="67"/>
      <c r="D258" s="67"/>
      <c r="E258" s="67"/>
      <c r="F258" s="68"/>
      <c r="G258" s="69"/>
      <c r="H258" s="68"/>
      <c r="I258" s="68"/>
      <c r="J258" s="68"/>
      <c r="K258" s="69"/>
      <c r="L258" s="68"/>
    </row>
    <row r="259" spans="1:12" ht="15.75">
      <c r="A259" s="65"/>
      <c r="B259" s="66"/>
      <c r="C259" s="67"/>
      <c r="D259" s="67"/>
      <c r="E259" s="67"/>
      <c r="F259" s="68"/>
      <c r="G259" s="69"/>
      <c r="H259" s="68"/>
      <c r="I259" s="68"/>
      <c r="J259" s="68"/>
      <c r="K259" s="69"/>
      <c r="L259" s="68"/>
    </row>
    <row r="260" spans="1:12" ht="15.75">
      <c r="A260" s="65"/>
      <c r="B260" s="66"/>
      <c r="C260" s="67"/>
      <c r="D260" s="67"/>
      <c r="E260" s="67"/>
      <c r="F260" s="68"/>
      <c r="G260" s="69"/>
      <c r="H260" s="68"/>
      <c r="I260" s="68"/>
      <c r="J260" s="68"/>
      <c r="K260" s="69"/>
      <c r="L260" s="68"/>
    </row>
    <row r="261" spans="1:12" ht="15.75">
      <c r="A261" s="65"/>
      <c r="B261" s="66"/>
      <c r="C261" s="67"/>
      <c r="D261" s="67"/>
      <c r="E261" s="67"/>
      <c r="F261" s="68"/>
      <c r="G261" s="69"/>
      <c r="H261" s="68"/>
      <c r="I261" s="68"/>
      <c r="J261" s="68"/>
      <c r="K261" s="69"/>
      <c r="L261" s="68"/>
    </row>
    <row r="262" spans="1:12" ht="15.75">
      <c r="A262" s="53"/>
      <c r="B262" s="32"/>
      <c r="C262" s="54"/>
      <c r="D262" s="54"/>
      <c r="E262" s="54"/>
      <c r="F262" s="54"/>
      <c r="G262" s="55"/>
      <c r="H262" s="54"/>
      <c r="I262" s="54"/>
      <c r="J262" s="54"/>
      <c r="K262" s="55"/>
      <c r="L262" s="26" t="s">
        <v>157</v>
      </c>
    </row>
    <row r="263" spans="1:12" ht="15.75">
      <c r="A263" s="94" t="s">
        <v>14</v>
      </c>
      <c r="B263" s="94"/>
      <c r="C263" s="94"/>
      <c r="D263" s="94"/>
      <c r="E263" s="94"/>
      <c r="F263" s="94"/>
      <c r="G263" s="94"/>
      <c r="H263" s="94"/>
      <c r="I263" s="94"/>
      <c r="J263" s="94"/>
      <c r="K263" s="94"/>
      <c r="L263" s="94"/>
    </row>
    <row r="264" spans="1:12" ht="15.75">
      <c r="A264" s="94" t="s">
        <v>0</v>
      </c>
      <c r="B264" s="94"/>
      <c r="C264" s="94"/>
      <c r="D264" s="94"/>
      <c r="E264" s="94"/>
      <c r="F264" s="94"/>
      <c r="G264" s="94"/>
      <c r="H264" s="94"/>
      <c r="I264" s="94"/>
      <c r="J264" s="94"/>
      <c r="K264" s="94"/>
      <c r="L264" s="94"/>
    </row>
    <row r="265" spans="1:12" ht="15.75">
      <c r="A265" s="95" t="s">
        <v>1</v>
      </c>
      <c r="B265" s="95"/>
      <c r="C265" s="95"/>
      <c r="D265" s="95"/>
      <c r="E265" s="95"/>
      <c r="F265" s="95"/>
      <c r="G265" s="95"/>
      <c r="H265" s="95"/>
      <c r="I265" s="95"/>
      <c r="J265" s="95"/>
      <c r="K265" s="95"/>
      <c r="L265" s="95"/>
    </row>
    <row r="266" spans="1:12" ht="15.75">
      <c r="A266" s="94" t="s">
        <v>2</v>
      </c>
      <c r="B266" s="94"/>
      <c r="C266" s="94"/>
      <c r="D266" s="94"/>
      <c r="E266" s="94"/>
      <c r="F266" s="94"/>
      <c r="G266" s="94"/>
      <c r="H266" s="94"/>
      <c r="I266" s="94"/>
      <c r="J266" s="94"/>
      <c r="K266" s="94"/>
      <c r="L266" s="94"/>
    </row>
    <row r="267" spans="1:12" ht="15.75">
      <c r="A267" s="94" t="str">
        <f>A138</f>
        <v>JANEIRO A ABRIL 2019/BIMESTRE MARÇO-ABRIL</v>
      </c>
      <c r="B267" s="94"/>
      <c r="C267" s="94"/>
      <c r="D267" s="94"/>
      <c r="E267" s="94"/>
      <c r="F267" s="94"/>
      <c r="G267" s="94"/>
      <c r="H267" s="94"/>
      <c r="I267" s="94"/>
      <c r="J267" s="94"/>
      <c r="K267" s="94"/>
      <c r="L267" s="94"/>
    </row>
    <row r="268" spans="1:12" ht="15.75">
      <c r="A268" s="53"/>
      <c r="B268" s="32"/>
      <c r="C268" s="54"/>
      <c r="D268" s="54"/>
      <c r="E268" s="54"/>
      <c r="F268" s="54"/>
      <c r="G268" s="55"/>
      <c r="H268" s="54"/>
      <c r="I268" s="54"/>
      <c r="J268" s="54"/>
      <c r="K268" s="55"/>
      <c r="L268" s="54"/>
    </row>
    <row r="269" spans="1:12" ht="15.75">
      <c r="A269" s="24"/>
      <c r="B269" s="24"/>
      <c r="C269" s="24"/>
      <c r="D269" s="24"/>
      <c r="E269" s="24"/>
      <c r="F269" s="24"/>
      <c r="G269" s="24"/>
      <c r="H269" s="24"/>
      <c r="I269" s="24"/>
      <c r="J269" s="24"/>
      <c r="K269" s="24"/>
      <c r="L269" s="26" t="str">
        <f>L140</f>
        <v>Emissão: 20/05/2019</v>
      </c>
    </row>
    <row r="270" spans="1:12" ht="15.75">
      <c r="A270" s="31" t="s">
        <v>240</v>
      </c>
      <c r="B270" s="29"/>
      <c r="C270" s="32"/>
      <c r="D270" s="29"/>
      <c r="E270" s="29"/>
      <c r="F270" s="33"/>
      <c r="G270" s="33"/>
      <c r="H270" s="33"/>
      <c r="I270" s="29"/>
      <c r="J270" s="29"/>
      <c r="K270" s="26"/>
      <c r="L270" s="34">
        <v>1</v>
      </c>
    </row>
    <row r="271" spans="1:12" ht="15.75">
      <c r="A271" s="11"/>
      <c r="B271" s="12"/>
      <c r="C271" s="13" t="s">
        <v>3</v>
      </c>
      <c r="D271" s="13" t="s">
        <v>3</v>
      </c>
      <c r="E271" s="91" t="s">
        <v>4</v>
      </c>
      <c r="F271" s="92"/>
      <c r="G271" s="93"/>
      <c r="H271" s="13" t="s">
        <v>18</v>
      </c>
      <c r="I271" s="91" t="s">
        <v>5</v>
      </c>
      <c r="J271" s="92"/>
      <c r="K271" s="93"/>
      <c r="L271" s="14" t="s">
        <v>18</v>
      </c>
    </row>
    <row r="272" spans="1:12" ht="15.75">
      <c r="A272" s="15" t="s">
        <v>23</v>
      </c>
      <c r="B272" s="16" t="s">
        <v>272</v>
      </c>
      <c r="C272" s="16" t="s">
        <v>7</v>
      </c>
      <c r="D272" s="16" t="s">
        <v>8</v>
      </c>
      <c r="E272" s="16" t="s">
        <v>9</v>
      </c>
      <c r="F272" s="16" t="s">
        <v>10</v>
      </c>
      <c r="G272" s="16" t="s">
        <v>11</v>
      </c>
      <c r="H272" s="17"/>
      <c r="I272" s="16" t="s">
        <v>9</v>
      </c>
      <c r="J272" s="16" t="s">
        <v>10</v>
      </c>
      <c r="K272" s="16" t="s">
        <v>11</v>
      </c>
      <c r="L272" s="18"/>
    </row>
    <row r="273" spans="1:12" ht="15.75">
      <c r="A273" s="19"/>
      <c r="B273" s="20"/>
      <c r="C273" s="20"/>
      <c r="D273" s="21" t="s">
        <v>12</v>
      </c>
      <c r="E273" s="21"/>
      <c r="F273" s="21" t="s">
        <v>13</v>
      </c>
      <c r="G273" s="21" t="s">
        <v>273</v>
      </c>
      <c r="H273" s="22" t="s">
        <v>19</v>
      </c>
      <c r="I273" s="21"/>
      <c r="J273" s="21" t="s">
        <v>20</v>
      </c>
      <c r="K273" s="21" t="s">
        <v>274</v>
      </c>
      <c r="L273" s="23" t="s">
        <v>22</v>
      </c>
    </row>
    <row r="274" spans="1:12" ht="15.75">
      <c r="A274" s="35"/>
      <c r="B274" s="72" t="s">
        <v>16</v>
      </c>
      <c r="C274" s="80">
        <f>C275+C279+C282+C286+C290+C296+C299+C301+C305+C307+C313+C315+C317+C319+C321+C323+C326+C328+C330+C332+C334+C336+C338</f>
        <v>5507654646</v>
      </c>
      <c r="D274" s="80">
        <f>D275+D279+D282+D286+D290+D296+D299+D301+D305+D307+D313+D315+D317+D319+D321+D323+D326+D328+D330+D332+D334+D336+D338</f>
        <v>5597141957</v>
      </c>
      <c r="E274" s="80">
        <f>E275+E279+E282+E286+E290+E296+E299+E301+E305+E307+E313+E315+E317+E319+E321+E323+E326+E328+E330+E332+E334+E336+E338</f>
        <v>778155661</v>
      </c>
      <c r="F274" s="80">
        <f>F275+F279+F282+F286+F290+F296+F299+F301+F305+F307+F313+F315+F317+F319+F321+F323+F326+F328+F330+F332+F334+F336+F338</f>
        <v>1841329355</v>
      </c>
      <c r="G274" s="69">
        <f aca="true" t="shared" si="36" ref="G274:G306">(F274/$F$244)*100</f>
        <v>8.719783240136698</v>
      </c>
      <c r="H274" s="80">
        <f>D274-F274</f>
        <v>3755812602</v>
      </c>
      <c r="I274" s="80">
        <f>I275+I279+I282+I286+I290+I296+I299+I301+I305+I307+I313+I315+I317+I319+I321+I323+I326+I328+I330+I332+I334+I336+I338</f>
        <v>819664061</v>
      </c>
      <c r="J274" s="80">
        <f>J275+J279+J282+J286+J290+J296+J299+J301+J305+J307+J313+J315+J317+J319+J321+J323+J326+J328+J330+J332+J334+J336+J338</f>
        <v>1638137019</v>
      </c>
      <c r="K274" s="81">
        <f aca="true" t="shared" si="37" ref="K274:K306">(J274/$J$244)*100</f>
        <v>9.008630679901914</v>
      </c>
      <c r="L274" s="68">
        <f>D274-J274</f>
        <v>3959004938</v>
      </c>
    </row>
    <row r="275" spans="1:12" ht="15.75">
      <c r="A275" s="35" t="s">
        <v>25</v>
      </c>
      <c r="B275" s="72" t="s">
        <v>24</v>
      </c>
      <c r="C275" s="41">
        <f>SUM(C276:C278)</f>
        <v>151800000</v>
      </c>
      <c r="D275" s="41">
        <f>SUM(D276:D278)</f>
        <v>151800000</v>
      </c>
      <c r="E275" s="41">
        <f>SUM(E276:E278)</f>
        <v>8615952</v>
      </c>
      <c r="F275" s="41">
        <f>SUM(F276:F278)</f>
        <v>59290116</v>
      </c>
      <c r="G275" s="69">
        <f t="shared" si="36"/>
        <v>0.28077375641608704</v>
      </c>
      <c r="H275" s="41">
        <f t="shared" si="34"/>
        <v>92509884</v>
      </c>
      <c r="I275" s="41">
        <f>SUM(I276:I278)</f>
        <v>21258038</v>
      </c>
      <c r="J275" s="41">
        <f>SUM(J276:J278)</f>
        <v>42261343</v>
      </c>
      <c r="K275" s="42">
        <f t="shared" si="37"/>
        <v>0.23240841682221824</v>
      </c>
      <c r="L275" s="68">
        <f t="shared" si="33"/>
        <v>109538657</v>
      </c>
    </row>
    <row r="276" spans="1:12" ht="15.75">
      <c r="A276" s="24" t="s">
        <v>26</v>
      </c>
      <c r="B276" s="60" t="s">
        <v>31</v>
      </c>
      <c r="C276" s="44">
        <v>2000000</v>
      </c>
      <c r="D276" s="44">
        <v>2000000</v>
      </c>
      <c r="E276" s="44">
        <f>F276-0</f>
        <v>400558</v>
      </c>
      <c r="F276" s="44">
        <v>400558</v>
      </c>
      <c r="G276" s="69">
        <f t="shared" si="36"/>
        <v>0.0018968789725848233</v>
      </c>
      <c r="H276" s="41">
        <f t="shared" si="34"/>
        <v>1599442</v>
      </c>
      <c r="I276" s="44">
        <f>J276-0</f>
        <v>35836</v>
      </c>
      <c r="J276" s="44">
        <v>35836</v>
      </c>
      <c r="K276" s="42">
        <f t="shared" si="37"/>
        <v>0.00019707343482295423</v>
      </c>
      <c r="L276" s="54">
        <f t="shared" si="33"/>
        <v>1964164</v>
      </c>
    </row>
    <row r="277" spans="1:12" ht="15.75">
      <c r="A277" s="24" t="s">
        <v>28</v>
      </c>
      <c r="B277" s="60" t="s">
        <v>33</v>
      </c>
      <c r="C277" s="44">
        <v>149700000</v>
      </c>
      <c r="D277" s="44">
        <v>149700000</v>
      </c>
      <c r="E277" s="44">
        <f>F277-50674164</f>
        <v>8215394</v>
      </c>
      <c r="F277" s="44">
        <v>58889558</v>
      </c>
      <c r="G277" s="69">
        <f t="shared" si="36"/>
        <v>0.2788768774435022</v>
      </c>
      <c r="H277" s="44">
        <f>D277-F277</f>
        <v>90810442</v>
      </c>
      <c r="I277" s="44">
        <f>J277-21003305</f>
        <v>21222202</v>
      </c>
      <c r="J277" s="44">
        <v>42225507</v>
      </c>
      <c r="K277" s="42">
        <f t="shared" si="37"/>
        <v>0.2322113433873953</v>
      </c>
      <c r="L277" s="54">
        <f>D277-J277</f>
        <v>107474493</v>
      </c>
    </row>
    <row r="278" spans="1:12" ht="15.75">
      <c r="A278" s="24" t="s">
        <v>50</v>
      </c>
      <c r="B278" s="60" t="s">
        <v>57</v>
      </c>
      <c r="C278" s="44">
        <v>100000</v>
      </c>
      <c r="D278" s="44">
        <v>100000</v>
      </c>
      <c r="E278" s="44">
        <f>F278-0</f>
        <v>0</v>
      </c>
      <c r="F278" s="44">
        <v>0</v>
      </c>
      <c r="G278" s="55">
        <f t="shared" si="36"/>
        <v>0</v>
      </c>
      <c r="H278" s="44">
        <f t="shared" si="34"/>
        <v>100000</v>
      </c>
      <c r="I278" s="44">
        <f>J278-0</f>
        <v>0</v>
      </c>
      <c r="J278" s="44">
        <v>0</v>
      </c>
      <c r="K278" s="46">
        <f t="shared" si="37"/>
        <v>0</v>
      </c>
      <c r="L278" s="54">
        <f t="shared" si="33"/>
        <v>100000</v>
      </c>
    </row>
    <row r="279" spans="1:12" ht="15.75">
      <c r="A279" s="35" t="s">
        <v>36</v>
      </c>
      <c r="B279" s="72" t="s">
        <v>37</v>
      </c>
      <c r="C279" s="41">
        <f>SUM(C280:C281)</f>
        <v>577800000</v>
      </c>
      <c r="D279" s="41">
        <f>SUM(D280:D281)</f>
        <v>576300000</v>
      </c>
      <c r="E279" s="41">
        <f>SUM(E280:E281)</f>
        <v>79369782</v>
      </c>
      <c r="F279" s="41">
        <f>SUM(F280:F281)</f>
        <v>169853245</v>
      </c>
      <c r="G279" s="69">
        <f t="shared" si="36"/>
        <v>0.8043555461775778</v>
      </c>
      <c r="H279" s="41">
        <f t="shared" si="34"/>
        <v>406446755</v>
      </c>
      <c r="I279" s="41">
        <f>SUM(I280:I281)</f>
        <v>79369779</v>
      </c>
      <c r="J279" s="41">
        <f>SUM(J280:J281)</f>
        <v>165700242</v>
      </c>
      <c r="K279" s="42">
        <f t="shared" si="37"/>
        <v>0.9112377453380607</v>
      </c>
      <c r="L279" s="68">
        <f t="shared" si="33"/>
        <v>410599758</v>
      </c>
    </row>
    <row r="280" spans="1:12" ht="15.75">
      <c r="A280" s="24" t="s">
        <v>38</v>
      </c>
      <c r="B280" s="60" t="s">
        <v>40</v>
      </c>
      <c r="C280" s="44">
        <v>9300000</v>
      </c>
      <c r="D280" s="44">
        <v>7800000</v>
      </c>
      <c r="E280" s="44">
        <f>F280-4162622</f>
        <v>253</v>
      </c>
      <c r="F280" s="44">
        <v>4162875</v>
      </c>
      <c r="G280" s="55">
        <f t="shared" si="36"/>
        <v>0.01971367455649131</v>
      </c>
      <c r="H280" s="44">
        <f t="shared" si="34"/>
        <v>3637125</v>
      </c>
      <c r="I280" s="44">
        <f>J280-9622</f>
        <v>250</v>
      </c>
      <c r="J280" s="44">
        <v>9872</v>
      </c>
      <c r="K280" s="46">
        <f t="shared" si="37"/>
        <v>5.428923285445374E-05</v>
      </c>
      <c r="L280" s="54">
        <f t="shared" si="33"/>
        <v>7790128</v>
      </c>
    </row>
    <row r="281" spans="1:12" ht="15.75">
      <c r="A281" s="24" t="s">
        <v>28</v>
      </c>
      <c r="B281" s="60" t="s">
        <v>33</v>
      </c>
      <c r="C281" s="44">
        <v>568500000</v>
      </c>
      <c r="D281" s="44">
        <v>568500000</v>
      </c>
      <c r="E281" s="44">
        <f>F281-86320841</f>
        <v>79369529</v>
      </c>
      <c r="F281" s="44">
        <v>165690370</v>
      </c>
      <c r="G281" s="55">
        <f t="shared" si="36"/>
        <v>0.7846418716210866</v>
      </c>
      <c r="H281" s="44">
        <f t="shared" si="34"/>
        <v>402809630</v>
      </c>
      <c r="I281" s="44">
        <f>J281-86320841</f>
        <v>79369529</v>
      </c>
      <c r="J281" s="44">
        <v>165690370</v>
      </c>
      <c r="K281" s="46">
        <f t="shared" si="37"/>
        <v>0.9111834561052061</v>
      </c>
      <c r="L281" s="54">
        <f t="shared" si="33"/>
        <v>402809630</v>
      </c>
    </row>
    <row r="282" spans="1:12" ht="15.75">
      <c r="A282" s="35" t="s">
        <v>42</v>
      </c>
      <c r="B282" s="72" t="s">
        <v>43</v>
      </c>
      <c r="C282" s="41">
        <f>SUM(C283:C285)</f>
        <v>387823273</v>
      </c>
      <c r="D282" s="41">
        <f>SUM(D283:D285)</f>
        <v>387823274</v>
      </c>
      <c r="E282" s="41">
        <f>SUM(E283:E285)</f>
        <v>25923568</v>
      </c>
      <c r="F282" s="41">
        <f>SUM(F283:F285)</f>
        <v>282299737</v>
      </c>
      <c r="G282" s="69">
        <f t="shared" si="36"/>
        <v>1.3368561733420021</v>
      </c>
      <c r="H282" s="41">
        <f>D282-F282</f>
        <v>105523537</v>
      </c>
      <c r="I282" s="41">
        <f>SUM(I283+I284+I285)</f>
        <v>58104764</v>
      </c>
      <c r="J282" s="41">
        <f>SUM(J283+J284+J285)</f>
        <v>109562782</v>
      </c>
      <c r="K282" s="42">
        <f t="shared" si="37"/>
        <v>0.6025201969387918</v>
      </c>
      <c r="L282" s="68">
        <f t="shared" si="33"/>
        <v>278260492</v>
      </c>
    </row>
    <row r="283" spans="1:12" ht="15.75">
      <c r="A283" s="24" t="s">
        <v>229</v>
      </c>
      <c r="B283" s="60" t="s">
        <v>230</v>
      </c>
      <c r="C283" s="44">
        <v>60000</v>
      </c>
      <c r="D283" s="44">
        <v>60000</v>
      </c>
      <c r="E283" s="44">
        <f>F283-0</f>
        <v>28252</v>
      </c>
      <c r="F283" s="44">
        <v>28252</v>
      </c>
      <c r="G283" s="55">
        <f t="shared" si="36"/>
        <v>0.00013378992488844666</v>
      </c>
      <c r="H283" s="44">
        <f>D283-F283</f>
        <v>31748</v>
      </c>
      <c r="I283" s="44">
        <f>J283-0</f>
        <v>10902</v>
      </c>
      <c r="J283" s="44">
        <v>10902</v>
      </c>
      <c r="K283" s="46">
        <f t="shared" si="37"/>
        <v>5.995352680097798E-05</v>
      </c>
      <c r="L283" s="54">
        <f t="shared" si="33"/>
        <v>49098</v>
      </c>
    </row>
    <row r="284" spans="1:12" ht="15.75">
      <c r="A284" s="24" t="s">
        <v>28</v>
      </c>
      <c r="B284" s="60" t="s">
        <v>33</v>
      </c>
      <c r="C284" s="44">
        <v>387663273</v>
      </c>
      <c r="D284" s="44">
        <v>387663274</v>
      </c>
      <c r="E284" s="44">
        <f>F284-256376169</f>
        <v>25895316</v>
      </c>
      <c r="F284" s="44">
        <v>282271485</v>
      </c>
      <c r="G284" s="55">
        <f t="shared" si="36"/>
        <v>1.3367223834171138</v>
      </c>
      <c r="H284" s="44">
        <f t="shared" si="34"/>
        <v>105391789</v>
      </c>
      <c r="I284" s="44">
        <f>J284-51458018</f>
        <v>58093862</v>
      </c>
      <c r="J284" s="44">
        <v>109551880</v>
      </c>
      <c r="K284" s="46">
        <f t="shared" si="37"/>
        <v>0.6024602434119908</v>
      </c>
      <c r="L284" s="54">
        <f t="shared" si="33"/>
        <v>278111394</v>
      </c>
    </row>
    <row r="285" spans="1:12" ht="15.75">
      <c r="A285" s="24" t="s">
        <v>29</v>
      </c>
      <c r="B285" s="60" t="s">
        <v>270</v>
      </c>
      <c r="C285" s="44">
        <v>100000</v>
      </c>
      <c r="D285" s="44">
        <v>100000</v>
      </c>
      <c r="E285" s="44">
        <f>F285-0</f>
        <v>0</v>
      </c>
      <c r="F285" s="44">
        <v>0</v>
      </c>
      <c r="G285" s="55">
        <f t="shared" si="36"/>
        <v>0</v>
      </c>
      <c r="H285" s="44">
        <f t="shared" si="34"/>
        <v>100000</v>
      </c>
      <c r="I285" s="44">
        <f>J285-0</f>
        <v>0</v>
      </c>
      <c r="J285" s="44">
        <v>0</v>
      </c>
      <c r="K285" s="46">
        <f t="shared" si="37"/>
        <v>0</v>
      </c>
      <c r="L285" s="54">
        <f t="shared" si="33"/>
        <v>100000</v>
      </c>
    </row>
    <row r="286" spans="1:12" ht="15.75">
      <c r="A286" s="35" t="s">
        <v>46</v>
      </c>
      <c r="B286" s="72" t="s">
        <v>47</v>
      </c>
      <c r="C286" s="41">
        <f>SUM(C287:C289)</f>
        <v>135464454</v>
      </c>
      <c r="D286" s="41">
        <f>SUM(D287:D289)</f>
        <v>136696646</v>
      </c>
      <c r="E286" s="41">
        <f>SUM(E287:E289)</f>
        <v>13993299</v>
      </c>
      <c r="F286" s="41">
        <f>SUM(F287:F289)</f>
        <v>39349806</v>
      </c>
      <c r="G286" s="69">
        <f t="shared" si="36"/>
        <v>0.1863445982272033</v>
      </c>
      <c r="H286" s="41">
        <f t="shared" si="34"/>
        <v>97346840</v>
      </c>
      <c r="I286" s="41">
        <f>SUM(I287:I289)</f>
        <v>13509501</v>
      </c>
      <c r="J286" s="41">
        <f>SUM(J287:J289)</f>
        <v>35551198</v>
      </c>
      <c r="K286" s="42">
        <f t="shared" si="37"/>
        <v>0.19550721905153867</v>
      </c>
      <c r="L286" s="68">
        <f t="shared" si="33"/>
        <v>101145448</v>
      </c>
    </row>
    <row r="287" spans="1:12" ht="15.75">
      <c r="A287" s="24" t="s">
        <v>28</v>
      </c>
      <c r="B287" s="60" t="s">
        <v>33</v>
      </c>
      <c r="C287" s="44">
        <v>135464454</v>
      </c>
      <c r="D287" s="44">
        <v>136692406</v>
      </c>
      <c r="E287" s="44">
        <f>F287-25352672</f>
        <v>13993299</v>
      </c>
      <c r="F287" s="44">
        <v>39345971</v>
      </c>
      <c r="G287" s="55">
        <f t="shared" si="36"/>
        <v>0.18632643723463826</v>
      </c>
      <c r="H287" s="44">
        <f t="shared" si="34"/>
        <v>97346435</v>
      </c>
      <c r="I287" s="44">
        <f>J287-22041697</f>
        <v>13508441</v>
      </c>
      <c r="J287" s="44">
        <v>35550138</v>
      </c>
      <c r="K287" s="46">
        <f t="shared" si="37"/>
        <v>0.19550138977815684</v>
      </c>
      <c r="L287" s="54">
        <f t="shared" si="33"/>
        <v>101142268</v>
      </c>
    </row>
    <row r="288" spans="1:12" ht="15.75">
      <c r="A288" s="24" t="s">
        <v>39</v>
      </c>
      <c r="B288" s="60" t="s">
        <v>41</v>
      </c>
      <c r="C288" s="44">
        <v>0</v>
      </c>
      <c r="D288" s="44">
        <v>3835</v>
      </c>
      <c r="E288" s="44">
        <f>F288-3835</f>
        <v>0</v>
      </c>
      <c r="F288" s="44">
        <v>3835</v>
      </c>
      <c r="G288" s="55">
        <f t="shared" si="36"/>
        <v>1.8160992565028777E-05</v>
      </c>
      <c r="H288" s="44">
        <f t="shared" si="34"/>
        <v>0</v>
      </c>
      <c r="I288" s="44">
        <f>J288-0</f>
        <v>1060</v>
      </c>
      <c r="J288" s="44">
        <v>1060</v>
      </c>
      <c r="K288" s="46">
        <f t="shared" si="37"/>
        <v>5.829273381859903E-06</v>
      </c>
      <c r="L288" s="54">
        <f t="shared" si="33"/>
        <v>2775</v>
      </c>
    </row>
    <row r="289" spans="1:12" ht="15.75">
      <c r="A289" s="24" t="s">
        <v>53</v>
      </c>
      <c r="B289" s="60" t="s">
        <v>60</v>
      </c>
      <c r="C289" s="44">
        <v>0</v>
      </c>
      <c r="D289" s="44">
        <v>405</v>
      </c>
      <c r="E289" s="44">
        <f>F289-0</f>
        <v>0</v>
      </c>
      <c r="F289" s="44">
        <v>0</v>
      </c>
      <c r="G289" s="55">
        <f t="shared" si="36"/>
        <v>0</v>
      </c>
      <c r="H289" s="44">
        <f t="shared" si="34"/>
        <v>405</v>
      </c>
      <c r="I289" s="44">
        <f>J289-0</f>
        <v>0</v>
      </c>
      <c r="J289" s="44">
        <v>0</v>
      </c>
      <c r="K289" s="46">
        <f t="shared" si="37"/>
        <v>0</v>
      </c>
      <c r="L289" s="54">
        <f t="shared" si="33"/>
        <v>405</v>
      </c>
    </row>
    <row r="290" spans="1:12" ht="15.75">
      <c r="A290" s="35" t="s">
        <v>63</v>
      </c>
      <c r="B290" s="72" t="s">
        <v>62</v>
      </c>
      <c r="C290" s="41">
        <f>SUM(C291:C295)</f>
        <v>1856647143</v>
      </c>
      <c r="D290" s="41">
        <f>SUM(D291:D295)</f>
        <v>1856931608</v>
      </c>
      <c r="E290" s="41">
        <f>SUM(E291:E295)</f>
        <v>314075450</v>
      </c>
      <c r="F290" s="41">
        <f>SUM(F291:F295)</f>
        <v>594086666</v>
      </c>
      <c r="G290" s="69">
        <f t="shared" si="36"/>
        <v>2.8133516360387834</v>
      </c>
      <c r="H290" s="41">
        <f t="shared" si="34"/>
        <v>1262844942</v>
      </c>
      <c r="I290" s="41">
        <f>SUM(I291:I295)</f>
        <v>313678003</v>
      </c>
      <c r="J290" s="41">
        <f>SUM(J291:J295)</f>
        <v>592960435</v>
      </c>
      <c r="K290" s="42">
        <f t="shared" si="37"/>
        <v>3.2608759247561974</v>
      </c>
      <c r="L290" s="68">
        <f t="shared" si="33"/>
        <v>1263971173</v>
      </c>
    </row>
    <row r="291" spans="1:12" ht="15.75">
      <c r="A291" s="24" t="s">
        <v>28</v>
      </c>
      <c r="B291" s="60" t="s">
        <v>33</v>
      </c>
      <c r="C291" s="44">
        <v>1763567363</v>
      </c>
      <c r="D291" s="44">
        <v>1763851033</v>
      </c>
      <c r="E291" s="44">
        <f>F291-279703998</f>
        <v>274675669</v>
      </c>
      <c r="F291" s="44">
        <v>554379667</v>
      </c>
      <c r="G291" s="55">
        <f t="shared" si="36"/>
        <v>2.6253155177549226</v>
      </c>
      <c r="H291" s="44">
        <f t="shared" si="34"/>
        <v>1209471366</v>
      </c>
      <c r="I291" s="44">
        <f>J291-279252003</f>
        <v>274279588</v>
      </c>
      <c r="J291" s="44">
        <v>553531591</v>
      </c>
      <c r="K291" s="46">
        <f t="shared" si="37"/>
        <v>3.0440443107876063</v>
      </c>
      <c r="L291" s="54">
        <f t="shared" si="33"/>
        <v>1210319442</v>
      </c>
    </row>
    <row r="292" spans="1:12" ht="15.75">
      <c r="A292" s="24" t="s">
        <v>49</v>
      </c>
      <c r="B292" s="60" t="s">
        <v>56</v>
      </c>
      <c r="C292" s="44">
        <v>89079780</v>
      </c>
      <c r="D292" s="44">
        <v>89079780</v>
      </c>
      <c r="E292" s="44">
        <f>F292-36671</f>
        <v>39367986</v>
      </c>
      <c r="F292" s="44">
        <v>39404657</v>
      </c>
      <c r="G292" s="55">
        <f t="shared" si="36"/>
        <v>0.18660435014459167</v>
      </c>
      <c r="H292" s="44">
        <f t="shared" si="34"/>
        <v>49675123</v>
      </c>
      <c r="I292" s="44">
        <f>J292-0</f>
        <v>39367986</v>
      </c>
      <c r="J292" s="44">
        <v>39367986</v>
      </c>
      <c r="K292" s="46">
        <f t="shared" si="37"/>
        <v>0.21649693668606917</v>
      </c>
      <c r="L292" s="54">
        <f t="shared" si="33"/>
        <v>49711794</v>
      </c>
    </row>
    <row r="293" spans="1:12" ht="15.75">
      <c r="A293" s="24" t="s">
        <v>64</v>
      </c>
      <c r="B293" s="60" t="s">
        <v>72</v>
      </c>
      <c r="C293" s="44">
        <v>0</v>
      </c>
      <c r="D293" s="44">
        <v>795</v>
      </c>
      <c r="E293" s="44">
        <f>F293-0</f>
        <v>795</v>
      </c>
      <c r="F293" s="44">
        <v>795</v>
      </c>
      <c r="G293" s="55">
        <f t="shared" si="36"/>
        <v>3.7647950688912322E-06</v>
      </c>
      <c r="H293" s="44">
        <f t="shared" si="34"/>
        <v>0</v>
      </c>
      <c r="I293" s="44">
        <f>J293-0</f>
        <v>0</v>
      </c>
      <c r="J293" s="44">
        <v>0</v>
      </c>
      <c r="K293" s="46">
        <f t="shared" si="37"/>
        <v>0</v>
      </c>
      <c r="L293" s="54">
        <f t="shared" si="33"/>
        <v>795</v>
      </c>
    </row>
    <row r="294" spans="1:12" ht="15.75">
      <c r="A294" s="24" t="s">
        <v>65</v>
      </c>
      <c r="B294" s="60" t="s">
        <v>73</v>
      </c>
      <c r="C294" s="44">
        <v>4000000</v>
      </c>
      <c r="D294" s="44">
        <v>4000000</v>
      </c>
      <c r="E294" s="44">
        <f>F294-270547</f>
        <v>31000</v>
      </c>
      <c r="F294" s="44">
        <v>301547</v>
      </c>
      <c r="G294" s="55">
        <f t="shared" si="36"/>
        <v>0.00142800334419993</v>
      </c>
      <c r="H294" s="44">
        <f t="shared" si="34"/>
        <v>3698453</v>
      </c>
      <c r="I294" s="44">
        <f>J294-30429</f>
        <v>30429</v>
      </c>
      <c r="J294" s="44">
        <v>60858</v>
      </c>
      <c r="K294" s="46">
        <f t="shared" si="37"/>
        <v>0.00033467728252191506</v>
      </c>
      <c r="L294" s="54">
        <f t="shared" si="33"/>
        <v>3939142</v>
      </c>
    </row>
    <row r="295" spans="1:12" ht="15.75">
      <c r="A295" s="24" t="s">
        <v>53</v>
      </c>
      <c r="B295" s="60" t="s">
        <v>60</v>
      </c>
      <c r="C295" s="44">
        <v>0</v>
      </c>
      <c r="D295" s="44">
        <v>0</v>
      </c>
      <c r="E295" s="44">
        <f>F295-0</f>
        <v>0</v>
      </c>
      <c r="F295" s="44">
        <v>0</v>
      </c>
      <c r="G295" s="55">
        <f t="shared" si="36"/>
        <v>0</v>
      </c>
      <c r="H295" s="44">
        <f t="shared" si="34"/>
        <v>0</v>
      </c>
      <c r="I295" s="44">
        <f>J295-0</f>
        <v>0</v>
      </c>
      <c r="J295" s="44">
        <v>0</v>
      </c>
      <c r="K295" s="46">
        <f t="shared" si="37"/>
        <v>0</v>
      </c>
      <c r="L295" s="54">
        <f t="shared" si="33"/>
        <v>0</v>
      </c>
    </row>
    <row r="296" spans="1:12" ht="15.75">
      <c r="A296" s="35" t="s">
        <v>81</v>
      </c>
      <c r="B296" s="72" t="s">
        <v>80</v>
      </c>
      <c r="C296" s="41">
        <f>SUM(C297:C298)</f>
        <v>7874928</v>
      </c>
      <c r="D296" s="41">
        <f>SUM(D297:D298)</f>
        <v>7895460</v>
      </c>
      <c r="E296" s="41">
        <f>SUM(E297:E298)</f>
        <v>954310</v>
      </c>
      <c r="F296" s="41">
        <f>SUM(F297:F298)</f>
        <v>2215955</v>
      </c>
      <c r="G296" s="69">
        <f t="shared" si="36"/>
        <v>0.010493857178471537</v>
      </c>
      <c r="H296" s="41">
        <f t="shared" si="34"/>
        <v>5679505</v>
      </c>
      <c r="I296" s="41">
        <f>SUM(I297:I298)</f>
        <v>1040613</v>
      </c>
      <c r="J296" s="41">
        <f>SUM(J297:J298)</f>
        <v>1984892</v>
      </c>
      <c r="K296" s="42">
        <f t="shared" si="37"/>
        <v>0.010915545378742139</v>
      </c>
      <c r="L296" s="68">
        <f t="shared" si="33"/>
        <v>5910568</v>
      </c>
    </row>
    <row r="297" spans="1:12" ht="15.75">
      <c r="A297" s="24" t="s">
        <v>28</v>
      </c>
      <c r="B297" s="60" t="s">
        <v>33</v>
      </c>
      <c r="C297" s="44">
        <v>7124928</v>
      </c>
      <c r="D297" s="44">
        <v>7145460</v>
      </c>
      <c r="E297" s="44">
        <f>F297-967156</f>
        <v>954310</v>
      </c>
      <c r="F297" s="44">
        <v>1921466</v>
      </c>
      <c r="G297" s="55">
        <f t="shared" si="36"/>
        <v>0.009099277637537309</v>
      </c>
      <c r="H297" s="44">
        <f t="shared" si="34"/>
        <v>5223994</v>
      </c>
      <c r="I297" s="44">
        <f>J297-944279</f>
        <v>930145</v>
      </c>
      <c r="J297" s="44">
        <v>1874424</v>
      </c>
      <c r="K297" s="46">
        <f t="shared" si="37"/>
        <v>0.010308047103320157</v>
      </c>
      <c r="L297" s="54">
        <f t="shared" si="33"/>
        <v>5271036</v>
      </c>
    </row>
    <row r="298" spans="1:12" ht="15.75">
      <c r="A298" s="24" t="s">
        <v>83</v>
      </c>
      <c r="B298" s="60" t="s">
        <v>271</v>
      </c>
      <c r="C298" s="44">
        <v>750000</v>
      </c>
      <c r="D298" s="44">
        <v>750000</v>
      </c>
      <c r="E298" s="44">
        <f>F298-294489</f>
        <v>0</v>
      </c>
      <c r="F298" s="44">
        <v>294489</v>
      </c>
      <c r="G298" s="55">
        <f t="shared" si="36"/>
        <v>0.0013945795409342266</v>
      </c>
      <c r="H298" s="44">
        <f t="shared" si="34"/>
        <v>455511</v>
      </c>
      <c r="I298" s="44">
        <f>J298-0</f>
        <v>110468</v>
      </c>
      <c r="J298" s="44">
        <v>110468</v>
      </c>
      <c r="K298" s="46">
        <f t="shared" si="37"/>
        <v>0.000607498275421981</v>
      </c>
      <c r="L298" s="54">
        <f t="shared" si="33"/>
        <v>639532</v>
      </c>
    </row>
    <row r="299" spans="1:12" ht="15.75">
      <c r="A299" s="35" t="s">
        <v>87</v>
      </c>
      <c r="B299" s="72" t="s">
        <v>86</v>
      </c>
      <c r="C299" s="41">
        <f>C300</f>
        <v>182083740</v>
      </c>
      <c r="D299" s="41">
        <f>D300</f>
        <v>182083740</v>
      </c>
      <c r="E299" s="41">
        <f>E300</f>
        <v>1708260</v>
      </c>
      <c r="F299" s="41">
        <f>F300</f>
        <v>2528587</v>
      </c>
      <c r="G299" s="69">
        <f t="shared" si="36"/>
        <v>0.01197435455202827</v>
      </c>
      <c r="H299" s="41">
        <f t="shared" si="34"/>
        <v>179555153</v>
      </c>
      <c r="I299" s="41">
        <f>I300</f>
        <v>833825</v>
      </c>
      <c r="J299" s="41">
        <f>J300</f>
        <v>1654152</v>
      </c>
      <c r="K299" s="42">
        <f t="shared" si="37"/>
        <v>0.009096702097311626</v>
      </c>
      <c r="L299" s="68">
        <f t="shared" si="33"/>
        <v>180429588</v>
      </c>
    </row>
    <row r="300" spans="1:12" ht="15.75">
      <c r="A300" s="24" t="s">
        <v>28</v>
      </c>
      <c r="B300" s="60" t="s">
        <v>33</v>
      </c>
      <c r="C300" s="44">
        <v>182083740</v>
      </c>
      <c r="D300" s="44">
        <v>182083740</v>
      </c>
      <c r="E300" s="44">
        <f>F300-820327</f>
        <v>1708260</v>
      </c>
      <c r="F300" s="44">
        <v>2528587</v>
      </c>
      <c r="G300" s="55">
        <f t="shared" si="36"/>
        <v>0.01197435455202827</v>
      </c>
      <c r="H300" s="44">
        <f t="shared" si="34"/>
        <v>179555153</v>
      </c>
      <c r="I300" s="44">
        <f>J300-820327</f>
        <v>833825</v>
      </c>
      <c r="J300" s="44">
        <v>1654152</v>
      </c>
      <c r="K300" s="46">
        <f t="shared" si="37"/>
        <v>0.009096702097311626</v>
      </c>
      <c r="L300" s="54">
        <f t="shared" si="33"/>
        <v>180429588</v>
      </c>
    </row>
    <row r="301" spans="1:12" ht="15.75">
      <c r="A301" s="35" t="s">
        <v>90</v>
      </c>
      <c r="B301" s="72" t="s">
        <v>91</v>
      </c>
      <c r="C301" s="41">
        <f>SUM(C302:C304)</f>
        <v>814177729</v>
      </c>
      <c r="D301" s="41">
        <f>SUM(D302:D304)</f>
        <v>814177729</v>
      </c>
      <c r="E301" s="41">
        <f>SUM(E302:E304)</f>
        <v>84728978</v>
      </c>
      <c r="F301" s="41">
        <f>SUM(F302:F304)</f>
        <v>176703389</v>
      </c>
      <c r="G301" s="69">
        <f t="shared" si="36"/>
        <v>0.8367950283818482</v>
      </c>
      <c r="H301" s="41">
        <f>D301-F301</f>
        <v>637474340</v>
      </c>
      <c r="I301" s="41">
        <f>SUM(I302:I304)</f>
        <v>84051081</v>
      </c>
      <c r="J301" s="41">
        <f>SUM(J302:J304)</f>
        <v>175243909</v>
      </c>
      <c r="K301" s="42">
        <f t="shared" si="37"/>
        <v>0.9637213717611124</v>
      </c>
      <c r="L301" s="68">
        <f>D301-J301</f>
        <v>638933820</v>
      </c>
    </row>
    <row r="302" spans="1:12" ht="15.75">
      <c r="A302" s="24" t="s">
        <v>28</v>
      </c>
      <c r="B302" s="60" t="s">
        <v>33</v>
      </c>
      <c r="C302" s="44">
        <v>79606189</v>
      </c>
      <c r="D302" s="44">
        <v>79606189</v>
      </c>
      <c r="E302" s="44">
        <f>F302-10231640</f>
        <v>9874405</v>
      </c>
      <c r="F302" s="44">
        <v>20106045</v>
      </c>
      <c r="G302" s="55">
        <f t="shared" si="36"/>
        <v>0.09521401140994366</v>
      </c>
      <c r="H302" s="44">
        <f t="shared" si="34"/>
        <v>59500144</v>
      </c>
      <c r="I302" s="44">
        <f>J302-9452061</f>
        <v>9194504</v>
      </c>
      <c r="J302" s="44">
        <v>18646565</v>
      </c>
      <c r="K302" s="46">
        <f t="shared" si="37"/>
        <v>0.10254332548832122</v>
      </c>
      <c r="L302" s="54">
        <f t="shared" si="33"/>
        <v>60959624</v>
      </c>
    </row>
    <row r="303" spans="1:12" ht="15.75">
      <c r="A303" s="24" t="s">
        <v>65</v>
      </c>
      <c r="B303" s="60" t="s">
        <v>73</v>
      </c>
      <c r="C303" s="44">
        <v>0</v>
      </c>
      <c r="D303" s="44">
        <v>0</v>
      </c>
      <c r="E303" s="44">
        <f>F303-0</f>
        <v>0</v>
      </c>
      <c r="F303" s="44">
        <v>0</v>
      </c>
      <c r="G303" s="55">
        <f t="shared" si="36"/>
        <v>0</v>
      </c>
      <c r="H303" s="44">
        <f>D303-F303</f>
        <v>0</v>
      </c>
      <c r="I303" s="44">
        <f>J303-0</f>
        <v>0</v>
      </c>
      <c r="J303" s="44">
        <v>0</v>
      </c>
      <c r="K303" s="46">
        <f t="shared" si="37"/>
        <v>0</v>
      </c>
      <c r="L303" s="54">
        <f>D303-J303</f>
        <v>0</v>
      </c>
    </row>
    <row r="304" spans="1:12" ht="15.75">
      <c r="A304" s="24" t="s">
        <v>67</v>
      </c>
      <c r="B304" s="60" t="s">
        <v>75</v>
      </c>
      <c r="C304" s="44">
        <v>734571540</v>
      </c>
      <c r="D304" s="44">
        <v>734571540</v>
      </c>
      <c r="E304" s="44">
        <f>F304-81742771</f>
        <v>74854573</v>
      </c>
      <c r="F304" s="44">
        <v>156597344</v>
      </c>
      <c r="G304" s="55">
        <f t="shared" si="36"/>
        <v>0.7415810169719045</v>
      </c>
      <c r="H304" s="44">
        <f t="shared" si="34"/>
        <v>577974196</v>
      </c>
      <c r="I304" s="44">
        <f>J304-81740767</f>
        <v>74856577</v>
      </c>
      <c r="J304" s="44">
        <v>156597344</v>
      </c>
      <c r="K304" s="46">
        <f t="shared" si="37"/>
        <v>0.8611780462727912</v>
      </c>
      <c r="L304" s="54">
        <f t="shared" si="33"/>
        <v>577974196</v>
      </c>
    </row>
    <row r="305" spans="1:12" ht="15.75">
      <c r="A305" s="35" t="s">
        <v>104</v>
      </c>
      <c r="B305" s="72" t="s">
        <v>103</v>
      </c>
      <c r="C305" s="41">
        <f>C306</f>
        <v>468705</v>
      </c>
      <c r="D305" s="41">
        <f>D306</f>
        <v>1357885</v>
      </c>
      <c r="E305" s="41">
        <f>E306</f>
        <v>103530</v>
      </c>
      <c r="F305" s="41">
        <f>F306</f>
        <v>153609</v>
      </c>
      <c r="G305" s="69">
        <f t="shared" si="36"/>
        <v>0.0007274294411790105</v>
      </c>
      <c r="H305" s="41">
        <f t="shared" si="34"/>
        <v>1204276</v>
      </c>
      <c r="I305" s="41">
        <f>I306</f>
        <v>102066</v>
      </c>
      <c r="J305" s="41">
        <f>J306</f>
        <v>152144</v>
      </c>
      <c r="K305" s="42">
        <f t="shared" si="37"/>
        <v>0.0008366877069902765</v>
      </c>
      <c r="L305" s="68">
        <f t="shared" si="33"/>
        <v>1205741</v>
      </c>
    </row>
    <row r="306" spans="1:12" ht="15.75">
      <c r="A306" s="24" t="s">
        <v>28</v>
      </c>
      <c r="B306" s="60" t="s">
        <v>33</v>
      </c>
      <c r="C306" s="44">
        <v>468705</v>
      </c>
      <c r="D306" s="44">
        <v>1357885</v>
      </c>
      <c r="E306" s="44">
        <f>F306-50079</f>
        <v>103530</v>
      </c>
      <c r="F306" s="44">
        <v>153609</v>
      </c>
      <c r="G306" s="55">
        <f t="shared" si="36"/>
        <v>0.0007274294411790105</v>
      </c>
      <c r="H306" s="44">
        <f t="shared" si="34"/>
        <v>1204276</v>
      </c>
      <c r="I306" s="44">
        <f>J306-50078</f>
        <v>102066</v>
      </c>
      <c r="J306" s="44">
        <v>152144</v>
      </c>
      <c r="K306" s="46">
        <f t="shared" si="37"/>
        <v>0.0008366877069902765</v>
      </c>
      <c r="L306" s="54">
        <f t="shared" si="33"/>
        <v>1205741</v>
      </c>
    </row>
    <row r="307" spans="1:12" ht="15.75">
      <c r="A307" s="35" t="s">
        <v>109</v>
      </c>
      <c r="B307" s="72" t="s">
        <v>110</v>
      </c>
      <c r="C307" s="41">
        <f>SUM(C308:C312)</f>
        <v>809326027</v>
      </c>
      <c r="D307" s="41">
        <f>SUM(D308:D312)</f>
        <v>809815829</v>
      </c>
      <c r="E307" s="41">
        <f>SUM(E308:E312)</f>
        <v>137589035</v>
      </c>
      <c r="F307" s="41">
        <f>SUM(F308:F312)</f>
        <v>279401753</v>
      </c>
      <c r="G307" s="69">
        <f aca="true" t="shared" si="38" ref="G307:G338">(F307/$F$244)*100</f>
        <v>1.323132505577316</v>
      </c>
      <c r="H307" s="41">
        <f t="shared" si="34"/>
        <v>530414076</v>
      </c>
      <c r="I307" s="41">
        <f>SUM(I308:I312)</f>
        <v>137164212</v>
      </c>
      <c r="J307" s="41">
        <f>SUM(J308:J312)</f>
        <v>278556381</v>
      </c>
      <c r="K307" s="42">
        <f aca="true" t="shared" si="39" ref="K307:K338">(J307/$J$244)*100</f>
        <v>1.5318691482174769</v>
      </c>
      <c r="L307" s="68">
        <f t="shared" si="33"/>
        <v>531259448</v>
      </c>
    </row>
    <row r="308" spans="1:12" ht="15.75">
      <c r="A308" s="24" t="s">
        <v>28</v>
      </c>
      <c r="B308" s="60" t="s">
        <v>33</v>
      </c>
      <c r="C308" s="44">
        <v>322747834</v>
      </c>
      <c r="D308" s="44">
        <v>323237636</v>
      </c>
      <c r="E308" s="44">
        <f>F308-52041004</f>
        <v>78915094</v>
      </c>
      <c r="F308" s="44">
        <v>130956098</v>
      </c>
      <c r="G308" s="55">
        <f t="shared" si="38"/>
        <v>0.6201545559643233</v>
      </c>
      <c r="H308" s="44">
        <f t="shared" si="34"/>
        <v>192281538</v>
      </c>
      <c r="I308" s="44">
        <f>J308-51620455</f>
        <v>78490271</v>
      </c>
      <c r="J308" s="44">
        <v>130110726</v>
      </c>
      <c r="K308" s="46">
        <f t="shared" si="39"/>
        <v>0.7155198035530823</v>
      </c>
      <c r="L308" s="54">
        <f t="shared" si="33"/>
        <v>193126910</v>
      </c>
    </row>
    <row r="309" spans="1:12" ht="15.75">
      <c r="A309" s="24" t="s">
        <v>82</v>
      </c>
      <c r="B309" s="60" t="s">
        <v>84</v>
      </c>
      <c r="C309" s="44">
        <v>30000</v>
      </c>
      <c r="D309" s="44">
        <v>30000</v>
      </c>
      <c r="E309" s="44">
        <f>F309-0</f>
        <v>0</v>
      </c>
      <c r="F309" s="44">
        <v>0</v>
      </c>
      <c r="G309" s="55">
        <f t="shared" si="38"/>
        <v>0</v>
      </c>
      <c r="H309" s="44">
        <f>D309-F309</f>
        <v>30000</v>
      </c>
      <c r="I309" s="44">
        <f>J309-0</f>
        <v>0</v>
      </c>
      <c r="J309" s="44">
        <v>0</v>
      </c>
      <c r="K309" s="46">
        <f t="shared" si="39"/>
        <v>0</v>
      </c>
      <c r="L309" s="54">
        <f>D309-J309</f>
        <v>30000</v>
      </c>
    </row>
    <row r="310" spans="1:12" ht="15.75">
      <c r="A310" s="24" t="s">
        <v>111</v>
      </c>
      <c r="B310" s="60" t="s">
        <v>118</v>
      </c>
      <c r="C310" s="44">
        <v>135953161</v>
      </c>
      <c r="D310" s="44">
        <v>135953161</v>
      </c>
      <c r="E310" s="44">
        <f>F310-26477546</f>
        <v>26801889</v>
      </c>
      <c r="F310" s="44">
        <v>53279435</v>
      </c>
      <c r="G310" s="55">
        <f t="shared" si="38"/>
        <v>0.2523096278758628</v>
      </c>
      <c r="H310" s="44">
        <f>D310-F310</f>
        <v>82673726</v>
      </c>
      <c r="I310" s="44">
        <f>J310-26477546</f>
        <v>26801889</v>
      </c>
      <c r="J310" s="44">
        <v>53279435</v>
      </c>
      <c r="K310" s="46">
        <f t="shared" si="39"/>
        <v>0.29300037004342916</v>
      </c>
      <c r="L310" s="54">
        <f>D310-J310</f>
        <v>82673726</v>
      </c>
    </row>
    <row r="311" spans="1:12" ht="15.75">
      <c r="A311" s="24" t="s">
        <v>112</v>
      </c>
      <c r="B311" s="60" t="s">
        <v>119</v>
      </c>
      <c r="C311" s="44">
        <v>350595032</v>
      </c>
      <c r="D311" s="44">
        <v>350595032</v>
      </c>
      <c r="E311" s="44">
        <f>F311-63294168</f>
        <v>31872052</v>
      </c>
      <c r="F311" s="44">
        <v>95166220</v>
      </c>
      <c r="G311" s="55">
        <f t="shared" si="38"/>
        <v>0.4506683217371298</v>
      </c>
      <c r="H311" s="44">
        <f t="shared" si="34"/>
        <v>255428812</v>
      </c>
      <c r="I311" s="44">
        <f>J311-63294168</f>
        <v>31872052</v>
      </c>
      <c r="J311" s="44">
        <v>95166220</v>
      </c>
      <c r="K311" s="46">
        <f t="shared" si="39"/>
        <v>0.5233489746209655</v>
      </c>
      <c r="L311" s="54">
        <f t="shared" si="33"/>
        <v>255428812</v>
      </c>
    </row>
    <row r="312" spans="1:12" ht="15.75">
      <c r="A312" s="24" t="s">
        <v>114</v>
      </c>
      <c r="B312" s="60" t="s">
        <v>121</v>
      </c>
      <c r="C312" s="44">
        <v>0</v>
      </c>
      <c r="D312" s="44">
        <v>0</v>
      </c>
      <c r="E312" s="44">
        <f>F312-0</f>
        <v>0</v>
      </c>
      <c r="F312" s="44">
        <v>0</v>
      </c>
      <c r="G312" s="55">
        <f t="shared" si="38"/>
        <v>0</v>
      </c>
      <c r="H312" s="44">
        <f t="shared" si="34"/>
        <v>0</v>
      </c>
      <c r="I312" s="44">
        <f>J312-0</f>
        <v>0</v>
      </c>
      <c r="J312" s="44">
        <v>0</v>
      </c>
      <c r="K312" s="46">
        <f t="shared" si="39"/>
        <v>0</v>
      </c>
      <c r="L312" s="54">
        <f t="shared" si="33"/>
        <v>0</v>
      </c>
    </row>
    <row r="313" spans="1:12" ht="15.75">
      <c r="A313" s="35" t="s">
        <v>125</v>
      </c>
      <c r="B313" s="72" t="s">
        <v>126</v>
      </c>
      <c r="C313" s="41">
        <f>C314</f>
        <v>10278020</v>
      </c>
      <c r="D313" s="41">
        <f>D314</f>
        <v>10279890</v>
      </c>
      <c r="E313" s="41">
        <f>E314</f>
        <v>1537862</v>
      </c>
      <c r="F313" s="41">
        <f>F314</f>
        <v>3092061</v>
      </c>
      <c r="G313" s="69">
        <f t="shared" si="38"/>
        <v>0.014642737113850179</v>
      </c>
      <c r="H313" s="41">
        <f t="shared" si="34"/>
        <v>7187829</v>
      </c>
      <c r="I313" s="41">
        <f>I314</f>
        <v>1536823</v>
      </c>
      <c r="J313" s="41">
        <f>J314</f>
        <v>3071250</v>
      </c>
      <c r="K313" s="42">
        <f t="shared" si="39"/>
        <v>0.01688976969248795</v>
      </c>
      <c r="L313" s="68">
        <f>D313-J313</f>
        <v>7208640</v>
      </c>
    </row>
    <row r="314" spans="1:12" ht="15.75">
      <c r="A314" s="24" t="s">
        <v>28</v>
      </c>
      <c r="B314" s="60" t="s">
        <v>33</v>
      </c>
      <c r="C314" s="44">
        <v>10278020</v>
      </c>
      <c r="D314" s="44">
        <v>10279890</v>
      </c>
      <c r="E314" s="44">
        <f>F314-1554199</f>
        <v>1537862</v>
      </c>
      <c r="F314" s="44">
        <v>3092061</v>
      </c>
      <c r="G314" s="55">
        <f t="shared" si="38"/>
        <v>0.014642737113850179</v>
      </c>
      <c r="H314" s="44">
        <f t="shared" si="34"/>
        <v>7187829</v>
      </c>
      <c r="I314" s="44">
        <f>J314-1534427</f>
        <v>1536823</v>
      </c>
      <c r="J314" s="44">
        <v>3071250</v>
      </c>
      <c r="K314" s="46">
        <f t="shared" si="39"/>
        <v>0.01688976969248795</v>
      </c>
      <c r="L314" s="54">
        <f>D314-J314</f>
        <v>7208640</v>
      </c>
    </row>
    <row r="315" spans="1:12" ht="15.75">
      <c r="A315" s="70" t="s">
        <v>129</v>
      </c>
      <c r="B315" s="72" t="s">
        <v>130</v>
      </c>
      <c r="C315" s="41">
        <f>C316</f>
        <v>1210000</v>
      </c>
      <c r="D315" s="41">
        <f>D316</f>
        <v>1212595</v>
      </c>
      <c r="E315" s="41">
        <f>E316</f>
        <v>218665</v>
      </c>
      <c r="F315" s="41">
        <f>F316</f>
        <v>434911</v>
      </c>
      <c r="G315" s="69">
        <f t="shared" si="38"/>
        <v>0.002059560739882459</v>
      </c>
      <c r="H315" s="41">
        <f t="shared" si="34"/>
        <v>777684</v>
      </c>
      <c r="I315" s="41">
        <f>I316</f>
        <v>217668</v>
      </c>
      <c r="J315" s="41">
        <f>J316</f>
        <v>433739</v>
      </c>
      <c r="K315" s="42">
        <f t="shared" si="39"/>
        <v>0.002385267176768427</v>
      </c>
      <c r="L315" s="68">
        <f t="shared" si="33"/>
        <v>778856</v>
      </c>
    </row>
    <row r="316" spans="1:12" ht="15.75">
      <c r="A316" s="53" t="s">
        <v>28</v>
      </c>
      <c r="B316" s="60" t="s">
        <v>33</v>
      </c>
      <c r="C316" s="44">
        <v>1210000</v>
      </c>
      <c r="D316" s="44">
        <v>1212595</v>
      </c>
      <c r="E316" s="44">
        <f>F316-216246</f>
        <v>218665</v>
      </c>
      <c r="F316" s="44">
        <v>434911</v>
      </c>
      <c r="G316" s="55">
        <f t="shared" si="38"/>
        <v>0.002059560739882459</v>
      </c>
      <c r="H316" s="44">
        <f t="shared" si="34"/>
        <v>777684</v>
      </c>
      <c r="I316" s="44">
        <f>J316-216071</f>
        <v>217668</v>
      </c>
      <c r="J316" s="44">
        <v>433739</v>
      </c>
      <c r="K316" s="46">
        <f t="shared" si="39"/>
        <v>0.002385267176768427</v>
      </c>
      <c r="L316" s="54">
        <f t="shared" si="33"/>
        <v>778856</v>
      </c>
    </row>
    <row r="317" spans="1:12" ht="15.75">
      <c r="A317" s="70" t="s">
        <v>133</v>
      </c>
      <c r="B317" s="72" t="s">
        <v>134</v>
      </c>
      <c r="C317" s="41">
        <f>C318</f>
        <v>505340</v>
      </c>
      <c r="D317" s="41">
        <f>D318</f>
        <v>605340</v>
      </c>
      <c r="E317" s="41">
        <f>E318</f>
        <v>81103</v>
      </c>
      <c r="F317" s="41">
        <f>F318</f>
        <v>163900</v>
      </c>
      <c r="G317" s="69">
        <f t="shared" si="38"/>
        <v>0.000776163411058205</v>
      </c>
      <c r="H317" s="41">
        <f t="shared" si="34"/>
        <v>441440</v>
      </c>
      <c r="I317" s="41">
        <f>I318</f>
        <v>81103</v>
      </c>
      <c r="J317" s="41">
        <f>J318</f>
        <v>163900</v>
      </c>
      <c r="K317" s="42">
        <f t="shared" si="39"/>
        <v>0.0009013376483838096</v>
      </c>
      <c r="L317" s="68">
        <f t="shared" si="33"/>
        <v>441440</v>
      </c>
    </row>
    <row r="318" spans="1:12" ht="15.75">
      <c r="A318" s="57" t="s">
        <v>28</v>
      </c>
      <c r="B318" s="32" t="s">
        <v>33</v>
      </c>
      <c r="C318" s="44">
        <v>505340</v>
      </c>
      <c r="D318" s="44">
        <v>605340</v>
      </c>
      <c r="E318" s="44">
        <f>F318-82797</f>
        <v>81103</v>
      </c>
      <c r="F318" s="44">
        <v>163900</v>
      </c>
      <c r="G318" s="55">
        <f t="shared" si="38"/>
        <v>0.000776163411058205</v>
      </c>
      <c r="H318" s="44">
        <f t="shared" si="34"/>
        <v>441440</v>
      </c>
      <c r="I318" s="44">
        <f>J318-82797</f>
        <v>81103</v>
      </c>
      <c r="J318" s="44">
        <v>163900</v>
      </c>
      <c r="K318" s="46">
        <f t="shared" si="39"/>
        <v>0.0009013376483838096</v>
      </c>
      <c r="L318" s="54">
        <f t="shared" si="33"/>
        <v>441440</v>
      </c>
    </row>
    <row r="319" spans="1:12" ht="15.75">
      <c r="A319" s="73" t="s">
        <v>138</v>
      </c>
      <c r="B319" s="71" t="s">
        <v>137</v>
      </c>
      <c r="C319" s="41">
        <f>C320</f>
        <v>1169519</v>
      </c>
      <c r="D319" s="41">
        <f>D320</f>
        <v>1079519</v>
      </c>
      <c r="E319" s="41">
        <f>F319-44437</f>
        <v>36060</v>
      </c>
      <c r="F319" s="41">
        <f>F320</f>
        <v>80497</v>
      </c>
      <c r="G319" s="69">
        <f t="shared" si="38"/>
        <v>0.0003812008913969026</v>
      </c>
      <c r="H319" s="41">
        <f t="shared" si="34"/>
        <v>999022</v>
      </c>
      <c r="I319" s="41">
        <f>I320</f>
        <v>36060</v>
      </c>
      <c r="J319" s="41">
        <f>J320</f>
        <v>80497</v>
      </c>
      <c r="K319" s="42">
        <f t="shared" si="39"/>
        <v>0.00044267832020714775</v>
      </c>
      <c r="L319" s="68">
        <f t="shared" si="33"/>
        <v>999022</v>
      </c>
    </row>
    <row r="320" spans="1:12" ht="15.75">
      <c r="A320" s="57" t="s">
        <v>28</v>
      </c>
      <c r="B320" s="32" t="s">
        <v>33</v>
      </c>
      <c r="C320" s="44">
        <v>1169519</v>
      </c>
      <c r="D320" s="44">
        <v>1079519</v>
      </c>
      <c r="E320" s="44">
        <f>F320-44437</f>
        <v>36060</v>
      </c>
      <c r="F320" s="44">
        <v>80497</v>
      </c>
      <c r="G320" s="55">
        <f t="shared" si="38"/>
        <v>0.0003812008913969026</v>
      </c>
      <c r="H320" s="44">
        <f t="shared" si="34"/>
        <v>999022</v>
      </c>
      <c r="I320" s="44">
        <f>J320-44437</f>
        <v>36060</v>
      </c>
      <c r="J320" s="44">
        <v>80497</v>
      </c>
      <c r="K320" s="46">
        <f t="shared" si="39"/>
        <v>0.00044267832020714775</v>
      </c>
      <c r="L320" s="54">
        <f t="shared" si="33"/>
        <v>999022</v>
      </c>
    </row>
    <row r="321" spans="1:12" ht="15.75">
      <c r="A321" s="73" t="s">
        <v>149</v>
      </c>
      <c r="B321" s="71" t="s">
        <v>150</v>
      </c>
      <c r="C321" s="41">
        <f>C322</f>
        <v>17514059</v>
      </c>
      <c r="D321" s="41">
        <f>D322</f>
        <v>17514059</v>
      </c>
      <c r="E321" s="41">
        <f>E322</f>
        <v>2126428</v>
      </c>
      <c r="F321" s="41">
        <f>F322</f>
        <v>4315838</v>
      </c>
      <c r="G321" s="69">
        <f t="shared" si="38"/>
        <v>0.02043804480570239</v>
      </c>
      <c r="H321" s="41">
        <f aca="true" t="shared" si="40" ref="H321:H326">D321-F321</f>
        <v>13198221</v>
      </c>
      <c r="I321" s="41">
        <f>I322</f>
        <v>2098571</v>
      </c>
      <c r="J321" s="41">
        <f>J322</f>
        <v>4215592</v>
      </c>
      <c r="K321" s="42">
        <f t="shared" si="39"/>
        <v>0.02318286625885052</v>
      </c>
      <c r="L321" s="68">
        <f t="shared" si="33"/>
        <v>13298467</v>
      </c>
    </row>
    <row r="322" spans="1:12" ht="15.75">
      <c r="A322" s="57" t="s">
        <v>28</v>
      </c>
      <c r="B322" s="32" t="s">
        <v>33</v>
      </c>
      <c r="C322" s="44">
        <v>17514059</v>
      </c>
      <c r="D322" s="44">
        <v>17514059</v>
      </c>
      <c r="E322" s="44">
        <f>F322-2189410</f>
        <v>2126428</v>
      </c>
      <c r="F322" s="44">
        <v>4315838</v>
      </c>
      <c r="G322" s="55">
        <f t="shared" si="38"/>
        <v>0.02043804480570239</v>
      </c>
      <c r="H322" s="44">
        <f t="shared" si="40"/>
        <v>13198221</v>
      </c>
      <c r="I322" s="44">
        <f>J322-2117021</f>
        <v>2098571</v>
      </c>
      <c r="J322" s="44">
        <v>4215592</v>
      </c>
      <c r="K322" s="46">
        <f t="shared" si="39"/>
        <v>0.02318286625885052</v>
      </c>
      <c r="L322" s="54">
        <f t="shared" si="33"/>
        <v>13298467</v>
      </c>
    </row>
    <row r="323" spans="1:12" ht="15.75">
      <c r="A323" s="73" t="s">
        <v>158</v>
      </c>
      <c r="B323" s="71" t="s">
        <v>159</v>
      </c>
      <c r="C323" s="41">
        <f>SUM(C324:C325)</f>
        <v>11267144</v>
      </c>
      <c r="D323" s="41">
        <f>SUM(D324:D325)</f>
        <v>12464502</v>
      </c>
      <c r="E323" s="41">
        <f>SUM(E324:E325)</f>
        <v>1661159</v>
      </c>
      <c r="F323" s="41">
        <f>SUM(F324:F325)</f>
        <v>3138846</v>
      </c>
      <c r="G323" s="69">
        <f t="shared" si="38"/>
        <v>0.014864291751960967</v>
      </c>
      <c r="H323" s="41">
        <f t="shared" si="40"/>
        <v>9325656</v>
      </c>
      <c r="I323" s="41">
        <f>SUM(I324:I325)</f>
        <v>1500193</v>
      </c>
      <c r="J323" s="41">
        <f>SUM(J324:J325)</f>
        <v>2977879</v>
      </c>
      <c r="K323" s="42">
        <f t="shared" si="39"/>
        <v>0.01637629319726376</v>
      </c>
      <c r="L323" s="68">
        <f t="shared" si="33"/>
        <v>9486623</v>
      </c>
    </row>
    <row r="324" spans="1:12" ht="15.75">
      <c r="A324" s="57" t="s">
        <v>28</v>
      </c>
      <c r="B324" s="32" t="s">
        <v>33</v>
      </c>
      <c r="C324" s="44">
        <v>11267144</v>
      </c>
      <c r="D324" s="44">
        <v>12256775</v>
      </c>
      <c r="E324" s="44">
        <f>F324-1477687</f>
        <v>1642328</v>
      </c>
      <c r="F324" s="44">
        <v>3120015</v>
      </c>
      <c r="G324" s="69">
        <f t="shared" si="38"/>
        <v>0.014775115832536703</v>
      </c>
      <c r="H324" s="44">
        <f t="shared" si="40"/>
        <v>9136760</v>
      </c>
      <c r="I324" s="44">
        <f>J324-1477686</f>
        <v>1499928</v>
      </c>
      <c r="J324" s="44">
        <v>2977614</v>
      </c>
      <c r="K324" s="46">
        <f t="shared" si="39"/>
        <v>0.016374835878918297</v>
      </c>
      <c r="L324" s="54">
        <f t="shared" si="33"/>
        <v>9279161</v>
      </c>
    </row>
    <row r="325" spans="1:12" ht="15.75">
      <c r="A325" s="57" t="s">
        <v>96</v>
      </c>
      <c r="B325" s="32" t="s">
        <v>102</v>
      </c>
      <c r="C325" s="44">
        <v>0</v>
      </c>
      <c r="D325" s="44">
        <v>207727</v>
      </c>
      <c r="E325" s="44">
        <f>F325-0</f>
        <v>18831</v>
      </c>
      <c r="F325" s="44">
        <v>18831</v>
      </c>
      <c r="G325" s="69">
        <f t="shared" si="38"/>
        <v>8.917591942426516E-05</v>
      </c>
      <c r="H325" s="44">
        <f t="shared" si="40"/>
        <v>188896</v>
      </c>
      <c r="I325" s="44">
        <f>J325-0</f>
        <v>265</v>
      </c>
      <c r="J325" s="44">
        <v>265</v>
      </c>
      <c r="K325" s="46">
        <f t="shared" si="39"/>
        <v>1.4573183454649757E-06</v>
      </c>
      <c r="L325" s="54">
        <f t="shared" si="33"/>
        <v>207462</v>
      </c>
    </row>
    <row r="326" spans="1:12" ht="15.75">
      <c r="A326" s="73" t="s">
        <v>162</v>
      </c>
      <c r="B326" s="71" t="s">
        <v>163</v>
      </c>
      <c r="C326" s="41">
        <f>SUM(C327:C327)</f>
        <v>5520675</v>
      </c>
      <c r="D326" s="41">
        <f>SUM(D327:D327)</f>
        <v>5562906</v>
      </c>
      <c r="E326" s="41">
        <f>SUM(E327:E327)</f>
        <v>848564</v>
      </c>
      <c r="F326" s="41">
        <f>SUM(F327:F327)</f>
        <v>1633770</v>
      </c>
      <c r="G326" s="69">
        <f t="shared" si="38"/>
        <v>0.007736866968179156</v>
      </c>
      <c r="H326" s="41">
        <f t="shared" si="40"/>
        <v>3929136</v>
      </c>
      <c r="I326" s="41">
        <f>SUM(I327:I327)</f>
        <v>847500</v>
      </c>
      <c r="J326" s="41">
        <f>SUM(J327:J327)</f>
        <v>1632706</v>
      </c>
      <c r="K326" s="42">
        <f t="shared" si="39"/>
        <v>0.008978763798304675</v>
      </c>
      <c r="L326" s="68">
        <f t="shared" si="33"/>
        <v>3930200</v>
      </c>
    </row>
    <row r="327" spans="1:12" ht="15.75">
      <c r="A327" s="53" t="s">
        <v>28</v>
      </c>
      <c r="B327" s="32" t="s">
        <v>33</v>
      </c>
      <c r="C327" s="44">
        <v>5520675</v>
      </c>
      <c r="D327" s="44">
        <v>5562906</v>
      </c>
      <c r="E327" s="44">
        <f>F327-785206</f>
        <v>848564</v>
      </c>
      <c r="F327" s="44">
        <v>1633770</v>
      </c>
      <c r="G327" s="55">
        <f t="shared" si="38"/>
        <v>0.007736866968179156</v>
      </c>
      <c r="H327" s="44">
        <f>D327-F327</f>
        <v>3929136</v>
      </c>
      <c r="I327" s="44">
        <f>J327-785206</f>
        <v>847500</v>
      </c>
      <c r="J327" s="44">
        <v>1632706</v>
      </c>
      <c r="K327" s="46">
        <f t="shared" si="39"/>
        <v>0.008978763798304675</v>
      </c>
      <c r="L327" s="54">
        <f t="shared" si="33"/>
        <v>3930200</v>
      </c>
    </row>
    <row r="328" spans="1:12" ht="15.75">
      <c r="A328" s="73" t="s">
        <v>175</v>
      </c>
      <c r="B328" s="71" t="s">
        <v>174</v>
      </c>
      <c r="C328" s="41">
        <f>C329</f>
        <v>1894000</v>
      </c>
      <c r="D328" s="41">
        <f>D329</f>
        <v>1894000</v>
      </c>
      <c r="E328" s="41">
        <f>E329</f>
        <v>226391</v>
      </c>
      <c r="F328" s="41">
        <f>F329</f>
        <v>455495</v>
      </c>
      <c r="G328" s="69">
        <f t="shared" si="38"/>
        <v>0.002157038150823411</v>
      </c>
      <c r="H328" s="41">
        <f aca="true" t="shared" si="41" ref="H328:H336">D328-F328</f>
        <v>1438505</v>
      </c>
      <c r="I328" s="41">
        <f>I329</f>
        <v>231562</v>
      </c>
      <c r="J328" s="41">
        <f>J329</f>
        <v>454532</v>
      </c>
      <c r="K328" s="42">
        <f t="shared" si="39"/>
        <v>0.0024996144233995713</v>
      </c>
      <c r="L328" s="68">
        <f>D328-J328</f>
        <v>1439468</v>
      </c>
    </row>
    <row r="329" spans="1:12" ht="15.75">
      <c r="A329" s="57" t="s">
        <v>28</v>
      </c>
      <c r="B329" s="32" t="s">
        <v>33</v>
      </c>
      <c r="C329" s="44">
        <v>1894000</v>
      </c>
      <c r="D329" s="44">
        <v>1894000</v>
      </c>
      <c r="E329" s="44">
        <f>F329-229104</f>
        <v>226391</v>
      </c>
      <c r="F329" s="44">
        <v>455495</v>
      </c>
      <c r="G329" s="55">
        <f t="shared" si="38"/>
        <v>0.002157038150823411</v>
      </c>
      <c r="H329" s="44">
        <f t="shared" si="41"/>
        <v>1438505</v>
      </c>
      <c r="I329" s="44">
        <f>J329-222970</f>
        <v>231562</v>
      </c>
      <c r="J329" s="44">
        <v>454532</v>
      </c>
      <c r="K329" s="46">
        <f t="shared" si="39"/>
        <v>0.0024996144233995713</v>
      </c>
      <c r="L329" s="54">
        <f>D329-J329</f>
        <v>1439468</v>
      </c>
    </row>
    <row r="330" spans="1:12" ht="15.75">
      <c r="A330" s="73" t="s">
        <v>178</v>
      </c>
      <c r="B330" s="71" t="s">
        <v>179</v>
      </c>
      <c r="C330" s="41">
        <f>C331</f>
        <v>4036650</v>
      </c>
      <c r="D330" s="41">
        <f>D331</f>
        <v>3148802</v>
      </c>
      <c r="E330" s="41">
        <f>E331</f>
        <v>499305</v>
      </c>
      <c r="F330" s="41">
        <f>F331</f>
        <v>1008496</v>
      </c>
      <c r="G330" s="69">
        <f t="shared" si="38"/>
        <v>0.004775824865152871</v>
      </c>
      <c r="H330" s="41">
        <f t="shared" si="41"/>
        <v>2140306</v>
      </c>
      <c r="I330" s="41">
        <f>I331</f>
        <v>327751</v>
      </c>
      <c r="J330" s="41">
        <f>J331</f>
        <v>831972</v>
      </c>
      <c r="K330" s="42">
        <f t="shared" si="39"/>
        <v>0.004575275692502592</v>
      </c>
      <c r="L330" s="68">
        <f>D330-J330</f>
        <v>2316830</v>
      </c>
    </row>
    <row r="331" spans="1:12" ht="15.75">
      <c r="A331" s="57" t="s">
        <v>28</v>
      </c>
      <c r="B331" s="32" t="s">
        <v>33</v>
      </c>
      <c r="C331" s="44">
        <v>4036650</v>
      </c>
      <c r="D331" s="44">
        <v>3148802</v>
      </c>
      <c r="E331" s="44">
        <f>F331-509191</f>
        <v>499305</v>
      </c>
      <c r="F331" s="44">
        <v>1008496</v>
      </c>
      <c r="G331" s="55">
        <f t="shared" si="38"/>
        <v>0.004775824865152871</v>
      </c>
      <c r="H331" s="44">
        <f t="shared" si="41"/>
        <v>2140306</v>
      </c>
      <c r="I331" s="44">
        <f>J331-504221</f>
        <v>327751</v>
      </c>
      <c r="J331" s="44">
        <v>831972</v>
      </c>
      <c r="K331" s="46">
        <f t="shared" si="39"/>
        <v>0.004575275692502592</v>
      </c>
      <c r="L331" s="54">
        <f aca="true" t="shared" si="42" ref="L331:L336">D331-J331</f>
        <v>2316830</v>
      </c>
    </row>
    <row r="332" spans="1:12" ht="15.75">
      <c r="A332" s="73" t="s">
        <v>189</v>
      </c>
      <c r="B332" s="71" t="s">
        <v>190</v>
      </c>
      <c r="C332" s="41">
        <f>C333</f>
        <v>4331200</v>
      </c>
      <c r="D332" s="41">
        <f>D333</f>
        <v>4331465</v>
      </c>
      <c r="E332" s="41">
        <f>E333</f>
        <v>624172</v>
      </c>
      <c r="F332" s="41">
        <f>F333</f>
        <v>1264321</v>
      </c>
      <c r="G332" s="69">
        <f t="shared" si="38"/>
        <v>0.00598730750477438</v>
      </c>
      <c r="H332" s="41">
        <f t="shared" si="41"/>
        <v>3067144</v>
      </c>
      <c r="I332" s="41">
        <f>I333</f>
        <v>618662</v>
      </c>
      <c r="J332" s="41">
        <f>J333</f>
        <v>1193059</v>
      </c>
      <c r="K332" s="42">
        <f t="shared" si="39"/>
        <v>0.006561006671404145</v>
      </c>
      <c r="L332" s="68">
        <f t="shared" si="42"/>
        <v>3138406</v>
      </c>
    </row>
    <row r="333" spans="1:12" ht="15.75">
      <c r="A333" s="57" t="s">
        <v>28</v>
      </c>
      <c r="B333" s="32" t="s">
        <v>33</v>
      </c>
      <c r="C333" s="44">
        <v>4331200</v>
      </c>
      <c r="D333" s="44">
        <v>4331465</v>
      </c>
      <c r="E333" s="44">
        <f>F333-640149</f>
        <v>624172</v>
      </c>
      <c r="F333" s="44">
        <v>1264321</v>
      </c>
      <c r="G333" s="55">
        <f t="shared" si="38"/>
        <v>0.00598730750477438</v>
      </c>
      <c r="H333" s="44">
        <f t="shared" si="41"/>
        <v>3067144</v>
      </c>
      <c r="I333" s="44">
        <f>J333-574397</f>
        <v>618662</v>
      </c>
      <c r="J333" s="44">
        <v>1193059</v>
      </c>
      <c r="K333" s="46">
        <f t="shared" si="39"/>
        <v>0.006561006671404145</v>
      </c>
      <c r="L333" s="54">
        <f>D333-J333</f>
        <v>3138406</v>
      </c>
    </row>
    <row r="334" spans="1:12" ht="15.75">
      <c r="A334" s="73" t="s">
        <v>195</v>
      </c>
      <c r="B334" s="71" t="s">
        <v>196</v>
      </c>
      <c r="C334" s="41">
        <f>SUM(C335:C335)</f>
        <v>14685313</v>
      </c>
      <c r="D334" s="41">
        <f>SUM(D335:D335)</f>
        <v>14813058</v>
      </c>
      <c r="E334" s="41">
        <f>SUM(E335:E335)</f>
        <v>2143710</v>
      </c>
      <c r="F334" s="41">
        <f>SUM(F335:F335)</f>
        <v>4282872</v>
      </c>
      <c r="G334" s="69">
        <f t="shared" si="38"/>
        <v>0.020281931303512364</v>
      </c>
      <c r="H334" s="41">
        <f t="shared" si="41"/>
        <v>10530186</v>
      </c>
      <c r="I334" s="41">
        <f>SUM(I335:I335)</f>
        <v>1942511</v>
      </c>
      <c r="J334" s="41">
        <f>SUM(J335:J335)</f>
        <v>3878930</v>
      </c>
      <c r="K334" s="42">
        <f t="shared" si="39"/>
        <v>0.02133145603688475</v>
      </c>
      <c r="L334" s="68">
        <f t="shared" si="42"/>
        <v>10934128</v>
      </c>
    </row>
    <row r="335" spans="1:12" ht="15.75">
      <c r="A335" s="57" t="s">
        <v>28</v>
      </c>
      <c r="B335" s="32" t="s">
        <v>33</v>
      </c>
      <c r="C335" s="44">
        <v>14685313</v>
      </c>
      <c r="D335" s="44">
        <v>14813058</v>
      </c>
      <c r="E335" s="44">
        <f>F335-2139162</f>
        <v>2143710</v>
      </c>
      <c r="F335" s="44">
        <v>4282872</v>
      </c>
      <c r="G335" s="69">
        <f t="shared" si="38"/>
        <v>0.020281931303512364</v>
      </c>
      <c r="H335" s="44">
        <f t="shared" si="41"/>
        <v>10530186</v>
      </c>
      <c r="I335" s="44">
        <f>J335-1936419</f>
        <v>1942511</v>
      </c>
      <c r="J335" s="44">
        <v>3878930</v>
      </c>
      <c r="K335" s="46">
        <f t="shared" si="39"/>
        <v>0.02133145603688475</v>
      </c>
      <c r="L335" s="54">
        <f t="shared" si="42"/>
        <v>10934128</v>
      </c>
    </row>
    <row r="336" spans="1:12" ht="15.75">
      <c r="A336" s="73" t="s">
        <v>203</v>
      </c>
      <c r="B336" s="71" t="s">
        <v>204</v>
      </c>
      <c r="C336" s="41">
        <f>SUM(C337:C337)</f>
        <v>827727</v>
      </c>
      <c r="D336" s="41">
        <f>SUM(D337:D337)</f>
        <v>827727</v>
      </c>
      <c r="E336" s="41">
        <f>SUM(E337:E337)</f>
        <v>153851</v>
      </c>
      <c r="F336" s="41">
        <f>SUM(F337:F337)</f>
        <v>308396</v>
      </c>
      <c r="G336" s="69">
        <f t="shared" si="38"/>
        <v>0.0014604374088877743</v>
      </c>
      <c r="H336" s="41">
        <f t="shared" si="41"/>
        <v>519331</v>
      </c>
      <c r="I336" s="41">
        <f>SUM(I337:I337)</f>
        <v>153851</v>
      </c>
      <c r="J336" s="41">
        <f>SUM(J337:J337)</f>
        <v>308396</v>
      </c>
      <c r="K336" s="42">
        <f t="shared" si="39"/>
        <v>0.0016959665979925157</v>
      </c>
      <c r="L336" s="68">
        <f t="shared" si="42"/>
        <v>519331</v>
      </c>
    </row>
    <row r="337" spans="1:12" ht="15.75">
      <c r="A337" s="57" t="s">
        <v>28</v>
      </c>
      <c r="B337" s="32" t="s">
        <v>33</v>
      </c>
      <c r="C337" s="44">
        <v>827727</v>
      </c>
      <c r="D337" s="44">
        <v>827727</v>
      </c>
      <c r="E337" s="44">
        <f>F337-154545</f>
        <v>153851</v>
      </c>
      <c r="F337" s="44">
        <v>308396</v>
      </c>
      <c r="G337" s="55">
        <f t="shared" si="38"/>
        <v>0.0014604374088877743</v>
      </c>
      <c r="H337" s="44">
        <f>D337-F337</f>
        <v>519331</v>
      </c>
      <c r="I337" s="44">
        <f>J337-154545</f>
        <v>153851</v>
      </c>
      <c r="J337" s="44">
        <v>308396</v>
      </c>
      <c r="K337" s="46">
        <f t="shared" si="39"/>
        <v>0.0016959665979925157</v>
      </c>
      <c r="L337" s="54">
        <f>D337-J337</f>
        <v>519331</v>
      </c>
    </row>
    <row r="338" spans="1:12" ht="15.75">
      <c r="A338" s="73" t="s">
        <v>211</v>
      </c>
      <c r="B338" s="71" t="s">
        <v>212</v>
      </c>
      <c r="C338" s="41">
        <f>C339</f>
        <v>510949000</v>
      </c>
      <c r="D338" s="41">
        <f>D339</f>
        <v>598525923</v>
      </c>
      <c r="E338" s="41">
        <f>E339</f>
        <v>100936227</v>
      </c>
      <c r="F338" s="41">
        <f>F339</f>
        <v>215267089</v>
      </c>
      <c r="G338" s="69">
        <f t="shared" si="38"/>
        <v>1.0194169498890189</v>
      </c>
      <c r="H338" s="41">
        <f>D338-F338</f>
        <v>383258834</v>
      </c>
      <c r="I338" s="41">
        <f>I339</f>
        <v>100959924</v>
      </c>
      <c r="J338" s="41">
        <f>J339</f>
        <v>215267089</v>
      </c>
      <c r="K338" s="42">
        <f t="shared" si="39"/>
        <v>1.1838214263190252</v>
      </c>
      <c r="L338" s="68">
        <f>D338-J338</f>
        <v>383258834</v>
      </c>
    </row>
    <row r="339" spans="1:12" ht="15.75">
      <c r="A339" s="57" t="s">
        <v>39</v>
      </c>
      <c r="B339" s="32" t="s">
        <v>41</v>
      </c>
      <c r="C339" s="44">
        <v>510949000</v>
      </c>
      <c r="D339" s="44">
        <v>598525923</v>
      </c>
      <c r="E339" s="44">
        <f>F339-114330862</f>
        <v>100936227</v>
      </c>
      <c r="F339" s="44">
        <v>215267089</v>
      </c>
      <c r="G339" s="55">
        <f>(F339/$F$244)*100</f>
        <v>1.0194169498890189</v>
      </c>
      <c r="H339" s="44">
        <f>D339-F339</f>
        <v>383258834</v>
      </c>
      <c r="I339" s="44">
        <f>J339-114307165</f>
        <v>100959924</v>
      </c>
      <c r="J339" s="44">
        <v>215267089</v>
      </c>
      <c r="K339" s="46">
        <f>(J339/$J$244)*100</f>
        <v>1.1838214263190252</v>
      </c>
      <c r="L339" s="54">
        <f>D339-J339</f>
        <v>383258834</v>
      </c>
    </row>
    <row r="340" spans="1:12" ht="15.75">
      <c r="A340" s="82" t="s">
        <v>221</v>
      </c>
      <c r="B340" s="83" t="s">
        <v>222</v>
      </c>
      <c r="C340" s="84">
        <v>0</v>
      </c>
      <c r="D340" s="84">
        <v>0</v>
      </c>
      <c r="E340" s="84">
        <v>0</v>
      </c>
      <c r="F340" s="84">
        <v>0</v>
      </c>
      <c r="G340" s="85">
        <f>(F340/$F$244)*100</f>
        <v>0</v>
      </c>
      <c r="H340" s="84">
        <f>D340-F340</f>
        <v>0</v>
      </c>
      <c r="I340" s="84">
        <v>0</v>
      </c>
      <c r="J340" s="84">
        <v>0</v>
      </c>
      <c r="K340" s="85">
        <f>(J340/$J$244)*100</f>
        <v>0</v>
      </c>
      <c r="L340" s="86">
        <f>D340-J340</f>
        <v>0</v>
      </c>
    </row>
    <row r="341" spans="1:12" ht="15">
      <c r="A341" s="65"/>
      <c r="B341" s="66"/>
      <c r="C341" s="67"/>
      <c r="D341" s="67"/>
      <c r="E341" s="67"/>
      <c r="F341" s="74"/>
      <c r="G341" s="75"/>
      <c r="H341" s="67"/>
      <c r="I341" s="67"/>
      <c r="J341" s="67"/>
      <c r="K341" s="67"/>
      <c r="L341" s="76" t="s">
        <v>227</v>
      </c>
    </row>
    <row r="342" spans="1:12" ht="15">
      <c r="A342" s="65"/>
      <c r="B342" s="66"/>
      <c r="C342" s="67"/>
      <c r="D342" s="67"/>
      <c r="E342" s="67"/>
      <c r="F342" s="67"/>
      <c r="G342" s="67"/>
      <c r="H342" s="67"/>
      <c r="I342" s="77"/>
      <c r="J342" s="67"/>
      <c r="K342" s="67"/>
      <c r="L342" s="67"/>
    </row>
    <row r="343" spans="1:12" ht="15">
      <c r="A343" s="65"/>
      <c r="B343" s="66"/>
      <c r="C343" s="67"/>
      <c r="D343" s="67"/>
      <c r="E343" s="67"/>
      <c r="F343" s="67"/>
      <c r="G343" s="67"/>
      <c r="H343" s="67"/>
      <c r="I343" s="67"/>
      <c r="J343" s="77"/>
      <c r="K343" s="67"/>
      <c r="L343" s="67"/>
    </row>
    <row r="344" spans="1:12" ht="15">
      <c r="A344" s="65"/>
      <c r="B344" s="66"/>
      <c r="C344" s="67"/>
      <c r="D344" s="67"/>
      <c r="E344" s="67"/>
      <c r="F344" s="67"/>
      <c r="G344" s="67"/>
      <c r="H344" s="67"/>
      <c r="I344" s="67"/>
      <c r="J344" s="67"/>
      <c r="K344" s="67"/>
      <c r="L344" s="67"/>
    </row>
    <row r="345" spans="1:12" ht="12.75">
      <c r="A345" s="78"/>
      <c r="B345" s="67"/>
      <c r="C345" s="67"/>
      <c r="D345" s="67"/>
      <c r="E345" s="77"/>
      <c r="F345" s="67"/>
      <c r="G345" s="67"/>
      <c r="H345" s="67"/>
      <c r="I345" s="77"/>
      <c r="J345" s="67"/>
      <c r="K345" s="67"/>
      <c r="L345" s="67"/>
    </row>
    <row r="346" spans="1:12" ht="12.75">
      <c r="A346" s="78"/>
      <c r="B346" s="67"/>
      <c r="C346" s="67"/>
      <c r="D346" s="67"/>
      <c r="E346" s="67"/>
      <c r="F346" s="67"/>
      <c r="G346" s="67"/>
      <c r="H346" s="67"/>
      <c r="I346" s="67"/>
      <c r="J346" s="67"/>
      <c r="K346" s="67"/>
      <c r="L346" s="67"/>
    </row>
    <row r="347" spans="1:12" ht="12.75">
      <c r="A347" s="78"/>
      <c r="B347" s="67"/>
      <c r="C347" s="67"/>
      <c r="D347" s="67"/>
      <c r="E347" s="67"/>
      <c r="F347" s="67"/>
      <c r="G347" s="67"/>
      <c r="H347" s="67"/>
      <c r="I347" s="67"/>
      <c r="J347" s="67"/>
      <c r="K347" s="67"/>
      <c r="L347" s="67"/>
    </row>
    <row r="348" spans="1:12" ht="15">
      <c r="A348" s="87" t="s">
        <v>256</v>
      </c>
      <c r="B348" s="87"/>
      <c r="C348" s="88" t="s">
        <v>258</v>
      </c>
      <c r="D348" s="88"/>
      <c r="E348" s="88"/>
      <c r="F348" s="88"/>
      <c r="G348" s="88"/>
      <c r="H348" s="88"/>
      <c r="I348" s="88" t="s">
        <v>262</v>
      </c>
      <c r="J348" s="88"/>
      <c r="K348" s="88"/>
      <c r="L348" s="88"/>
    </row>
    <row r="349" spans="1:12" ht="15">
      <c r="A349" s="87" t="s">
        <v>257</v>
      </c>
      <c r="B349" s="87"/>
      <c r="C349" s="88" t="s">
        <v>259</v>
      </c>
      <c r="D349" s="88"/>
      <c r="E349" s="88"/>
      <c r="F349" s="88"/>
      <c r="G349" s="88"/>
      <c r="H349" s="88"/>
      <c r="I349" s="88" t="s">
        <v>261</v>
      </c>
      <c r="J349" s="88"/>
      <c r="K349" s="88"/>
      <c r="L349" s="88"/>
    </row>
    <row r="350" spans="1:12" ht="15">
      <c r="A350" s="87" t="s">
        <v>248</v>
      </c>
      <c r="B350" s="87"/>
      <c r="C350" s="88" t="s">
        <v>249</v>
      </c>
      <c r="D350" s="88"/>
      <c r="E350" s="88"/>
      <c r="F350" s="88"/>
      <c r="G350" s="88"/>
      <c r="H350" s="88"/>
      <c r="I350" s="88" t="s">
        <v>260</v>
      </c>
      <c r="J350" s="88"/>
      <c r="K350" s="88"/>
      <c r="L350" s="88"/>
    </row>
    <row r="351" spans="1:12" ht="12.75">
      <c r="A351" s="78"/>
      <c r="B351" s="67"/>
      <c r="C351" s="67"/>
      <c r="D351" s="67"/>
      <c r="E351" s="67"/>
      <c r="F351" s="67"/>
      <c r="G351" s="67"/>
      <c r="H351" s="67"/>
      <c r="I351" s="67"/>
      <c r="J351" s="67"/>
      <c r="K351" s="67"/>
      <c r="L351" s="67"/>
    </row>
    <row r="352" spans="1:12" ht="12.75">
      <c r="A352" s="78"/>
      <c r="B352" s="67"/>
      <c r="C352" s="67"/>
      <c r="D352" s="67"/>
      <c r="E352" s="67"/>
      <c r="F352" s="67"/>
      <c r="G352" s="67"/>
      <c r="H352" s="67"/>
      <c r="I352" s="67"/>
      <c r="J352" s="67"/>
      <c r="K352" s="67"/>
      <c r="L352" s="67"/>
    </row>
    <row r="353" spans="1:12" ht="12.75">
      <c r="A353" s="67"/>
      <c r="B353" s="67"/>
      <c r="C353" s="67"/>
      <c r="D353" s="67"/>
      <c r="E353" s="67"/>
      <c r="F353" s="67"/>
      <c r="G353" s="67"/>
      <c r="H353" s="67"/>
      <c r="I353" s="67"/>
      <c r="J353" s="67"/>
      <c r="K353" s="67"/>
      <c r="L353" s="67"/>
    </row>
    <row r="354" spans="1:12" ht="12.75">
      <c r="A354" s="67"/>
      <c r="B354" s="67"/>
      <c r="C354" s="67"/>
      <c r="D354" s="67"/>
      <c r="E354" s="67"/>
      <c r="F354" s="67"/>
      <c r="G354" s="67"/>
      <c r="H354" s="67"/>
      <c r="I354" s="67"/>
      <c r="J354" s="67"/>
      <c r="K354" s="67"/>
      <c r="L354" s="67"/>
    </row>
    <row r="355" spans="1:12" ht="12.75">
      <c r="A355" s="67"/>
      <c r="B355" s="67"/>
      <c r="C355" s="67"/>
      <c r="D355" s="67"/>
      <c r="E355" s="67"/>
      <c r="F355" s="67"/>
      <c r="G355" s="67"/>
      <c r="H355" s="67"/>
      <c r="I355" s="67"/>
      <c r="J355" s="67"/>
      <c r="K355" s="67"/>
      <c r="L355" s="67"/>
    </row>
    <row r="356" spans="1:12" ht="15">
      <c r="A356" s="79"/>
      <c r="B356" s="66"/>
      <c r="C356" s="66"/>
      <c r="D356" s="66"/>
      <c r="E356" s="66"/>
      <c r="F356" s="66"/>
      <c r="G356" s="66"/>
      <c r="H356" s="66"/>
      <c r="I356" s="66"/>
      <c r="J356" s="66"/>
      <c r="K356" s="66"/>
      <c r="L356" s="66"/>
    </row>
    <row r="357" spans="1:12" ht="12.75">
      <c r="A357" s="78"/>
      <c r="B357" s="67"/>
      <c r="C357" s="67"/>
      <c r="D357" s="67"/>
      <c r="E357" s="67"/>
      <c r="F357" s="67"/>
      <c r="G357" s="67"/>
      <c r="H357" s="67"/>
      <c r="I357" s="67"/>
      <c r="J357" s="67"/>
      <c r="K357" s="67"/>
      <c r="L357" s="67"/>
    </row>
    <row r="358" spans="1:12" ht="12.75">
      <c r="A358" s="78"/>
      <c r="B358" s="67"/>
      <c r="C358" s="67"/>
      <c r="D358" s="67"/>
      <c r="E358" s="67"/>
      <c r="F358" s="67"/>
      <c r="G358" s="67"/>
      <c r="H358" s="67"/>
      <c r="I358" s="67"/>
      <c r="J358" s="67"/>
      <c r="K358" s="67"/>
      <c r="L358" s="67"/>
    </row>
    <row r="359" spans="1:12" ht="12.75">
      <c r="A359" s="78"/>
      <c r="B359" s="67"/>
      <c r="C359" s="67"/>
      <c r="D359" s="67"/>
      <c r="E359" s="67"/>
      <c r="F359" s="67"/>
      <c r="G359" s="67"/>
      <c r="H359" s="67"/>
      <c r="I359" s="67"/>
      <c r="J359" s="67"/>
      <c r="K359" s="67"/>
      <c r="L359" s="67"/>
    </row>
    <row r="360" spans="1:12" ht="12.75">
      <c r="A360" s="78"/>
      <c r="B360" s="67"/>
      <c r="C360" s="67"/>
      <c r="D360" s="67"/>
      <c r="E360" s="67"/>
      <c r="F360" s="67"/>
      <c r="G360" s="67"/>
      <c r="H360" s="67"/>
      <c r="I360" s="67"/>
      <c r="J360" s="67"/>
      <c r="K360" s="67"/>
      <c r="L360" s="67"/>
    </row>
    <row r="361" spans="1:12" ht="12.75">
      <c r="A361" s="78"/>
      <c r="B361" s="67"/>
      <c r="C361" s="67"/>
      <c r="D361" s="67"/>
      <c r="E361" s="67"/>
      <c r="F361" s="67"/>
      <c r="G361" s="67"/>
      <c r="H361" s="67"/>
      <c r="I361" s="67"/>
      <c r="J361" s="67"/>
      <c r="K361" s="67"/>
      <c r="L361" s="67"/>
    </row>
    <row r="362" spans="1:12" ht="12.75">
      <c r="A362" s="78"/>
      <c r="B362" s="67"/>
      <c r="C362" s="67"/>
      <c r="D362" s="67"/>
      <c r="E362" s="67"/>
      <c r="F362" s="67"/>
      <c r="G362" s="67"/>
      <c r="H362" s="67"/>
      <c r="I362" s="67"/>
      <c r="J362" s="67"/>
      <c r="K362" s="67"/>
      <c r="L362" s="67"/>
    </row>
    <row r="363" spans="1:12" ht="12.75">
      <c r="A363" s="78"/>
      <c r="B363" s="67"/>
      <c r="C363" s="67"/>
      <c r="D363" s="67"/>
      <c r="E363" s="67"/>
      <c r="F363" s="67"/>
      <c r="G363" s="67"/>
      <c r="H363" s="67"/>
      <c r="I363" s="67"/>
      <c r="J363" s="67"/>
      <c r="K363" s="67"/>
      <c r="L363" s="67"/>
    </row>
    <row r="364" spans="1:12" ht="12.75">
      <c r="A364" s="78"/>
      <c r="B364" s="67"/>
      <c r="C364" s="67"/>
      <c r="D364" s="67"/>
      <c r="E364" s="67"/>
      <c r="F364" s="67"/>
      <c r="G364" s="67"/>
      <c r="H364" s="67"/>
      <c r="I364" s="67"/>
      <c r="J364" s="67"/>
      <c r="K364" s="67"/>
      <c r="L364" s="67"/>
    </row>
    <row r="365" spans="1:12" ht="12.75">
      <c r="A365" s="78"/>
      <c r="B365" s="67"/>
      <c r="C365" s="67"/>
      <c r="D365" s="67"/>
      <c r="E365" s="67"/>
      <c r="F365" s="67"/>
      <c r="G365" s="67"/>
      <c r="H365" s="67"/>
      <c r="I365" s="67"/>
      <c r="J365" s="67"/>
      <c r="K365" s="67"/>
      <c r="L365" s="67"/>
    </row>
    <row r="366" spans="1:12" ht="12.75">
      <c r="A366" s="78"/>
      <c r="B366" s="67"/>
      <c r="C366" s="67"/>
      <c r="D366" s="67"/>
      <c r="E366" s="67"/>
      <c r="F366" s="67"/>
      <c r="G366" s="67"/>
      <c r="H366" s="67"/>
      <c r="I366" s="67"/>
      <c r="J366" s="67"/>
      <c r="K366" s="67"/>
      <c r="L366" s="67"/>
    </row>
    <row r="367" spans="1:12" ht="12.75">
      <c r="A367" s="78"/>
      <c r="B367" s="67"/>
      <c r="C367" s="67"/>
      <c r="D367" s="67"/>
      <c r="E367" s="67"/>
      <c r="F367" s="67"/>
      <c r="G367" s="67"/>
      <c r="H367" s="67"/>
      <c r="I367" s="67"/>
      <c r="J367" s="67"/>
      <c r="K367" s="67"/>
      <c r="L367" s="67"/>
    </row>
    <row r="368" spans="1:12" ht="12.75">
      <c r="A368" s="78"/>
      <c r="B368" s="67"/>
      <c r="C368" s="67"/>
      <c r="D368" s="67"/>
      <c r="E368" s="67"/>
      <c r="F368" s="67"/>
      <c r="G368" s="67"/>
      <c r="H368" s="67"/>
      <c r="I368" s="67"/>
      <c r="J368" s="67"/>
      <c r="K368" s="67"/>
      <c r="L368" s="67"/>
    </row>
    <row r="369" spans="1:12" ht="12.75">
      <c r="A369" s="78"/>
      <c r="B369" s="67"/>
      <c r="C369" s="67"/>
      <c r="D369" s="67"/>
      <c r="E369" s="67"/>
      <c r="F369" s="67"/>
      <c r="G369" s="67"/>
      <c r="H369" s="67"/>
      <c r="I369" s="67"/>
      <c r="J369" s="67"/>
      <c r="K369" s="67"/>
      <c r="L369" s="67"/>
    </row>
    <row r="370" spans="1:12" ht="12.75">
      <c r="A370" s="78"/>
      <c r="B370" s="67"/>
      <c r="C370" s="67"/>
      <c r="D370" s="67"/>
      <c r="E370" s="67"/>
      <c r="F370" s="67"/>
      <c r="G370" s="67"/>
      <c r="H370" s="67"/>
      <c r="I370" s="67"/>
      <c r="J370" s="67"/>
      <c r="K370" s="67"/>
      <c r="L370" s="67"/>
    </row>
    <row r="371" spans="1:12" ht="12.75">
      <c r="A371" s="78"/>
      <c r="B371" s="67"/>
      <c r="C371" s="67"/>
      <c r="D371" s="67"/>
      <c r="E371" s="67"/>
      <c r="F371" s="67"/>
      <c r="G371" s="67"/>
      <c r="H371" s="67"/>
      <c r="I371" s="67"/>
      <c r="J371" s="67"/>
      <c r="K371" s="67"/>
      <c r="L371" s="67"/>
    </row>
    <row r="372" spans="1:12" ht="12.75">
      <c r="A372" s="78"/>
      <c r="B372" s="67"/>
      <c r="C372" s="67"/>
      <c r="D372" s="67"/>
      <c r="E372" s="67"/>
      <c r="F372" s="67"/>
      <c r="G372" s="67"/>
      <c r="H372" s="67"/>
      <c r="I372" s="67"/>
      <c r="J372" s="67"/>
      <c r="K372" s="67"/>
      <c r="L372" s="67"/>
    </row>
    <row r="373" spans="1:12" ht="12.75">
      <c r="A373" s="78"/>
      <c r="B373" s="67"/>
      <c r="C373" s="67"/>
      <c r="D373" s="67"/>
      <c r="E373" s="67"/>
      <c r="F373" s="67"/>
      <c r="G373" s="67"/>
      <c r="H373" s="67"/>
      <c r="I373" s="67"/>
      <c r="J373" s="67"/>
      <c r="K373" s="67"/>
      <c r="L373" s="67"/>
    </row>
    <row r="374" spans="1:12" ht="12.75">
      <c r="A374" s="78"/>
      <c r="B374" s="67"/>
      <c r="C374" s="67"/>
      <c r="D374" s="67"/>
      <c r="E374" s="67"/>
      <c r="F374" s="67"/>
      <c r="G374" s="67"/>
      <c r="H374" s="67"/>
      <c r="I374" s="67"/>
      <c r="J374" s="67"/>
      <c r="K374" s="67"/>
      <c r="L374" s="67"/>
    </row>
    <row r="375" spans="1:12" ht="12.75">
      <c r="A375" s="78"/>
      <c r="B375" s="67"/>
      <c r="C375" s="67"/>
      <c r="D375" s="67"/>
      <c r="E375" s="67"/>
      <c r="F375" s="67"/>
      <c r="G375" s="67"/>
      <c r="H375" s="67"/>
      <c r="I375" s="67"/>
      <c r="J375" s="67"/>
      <c r="K375" s="67"/>
      <c r="L375" s="67"/>
    </row>
    <row r="376" spans="1:12" ht="12.75">
      <c r="A376" s="78"/>
      <c r="B376" s="67"/>
      <c r="C376" s="67"/>
      <c r="D376" s="67"/>
      <c r="E376" s="67"/>
      <c r="F376" s="67"/>
      <c r="G376" s="67"/>
      <c r="H376" s="67"/>
      <c r="I376" s="67"/>
      <c r="J376" s="67"/>
      <c r="K376" s="67"/>
      <c r="L376" s="67"/>
    </row>
    <row r="377" spans="1:12" ht="12.75">
      <c r="A377" s="78"/>
      <c r="B377" s="67"/>
      <c r="C377" s="67"/>
      <c r="D377" s="67"/>
      <c r="E377" s="67"/>
      <c r="F377" s="67"/>
      <c r="G377" s="67"/>
      <c r="H377" s="67"/>
      <c r="I377" s="67"/>
      <c r="J377" s="67"/>
      <c r="K377" s="67"/>
      <c r="L377" s="67"/>
    </row>
    <row r="378" spans="1:12" ht="12.75">
      <c r="A378" s="78"/>
      <c r="B378" s="67"/>
      <c r="C378" s="67"/>
      <c r="D378" s="67"/>
      <c r="E378" s="67"/>
      <c r="F378" s="67"/>
      <c r="G378" s="67"/>
      <c r="H378" s="67"/>
      <c r="I378" s="67"/>
      <c r="J378" s="67"/>
      <c r="K378" s="67"/>
      <c r="L378" s="67"/>
    </row>
    <row r="379" spans="1:12" ht="12.75">
      <c r="A379" s="78"/>
      <c r="B379" s="67"/>
      <c r="C379" s="67"/>
      <c r="D379" s="67"/>
      <c r="E379" s="67"/>
      <c r="F379" s="67"/>
      <c r="G379" s="67"/>
      <c r="H379" s="67"/>
      <c r="I379" s="67"/>
      <c r="J379" s="67"/>
      <c r="K379" s="67"/>
      <c r="L379" s="67"/>
    </row>
    <row r="380" spans="1:12" ht="12.75">
      <c r="A380" s="78"/>
      <c r="B380" s="67"/>
      <c r="C380" s="67"/>
      <c r="D380" s="67"/>
      <c r="E380" s="67"/>
      <c r="F380" s="67"/>
      <c r="G380" s="67"/>
      <c r="H380" s="67"/>
      <c r="I380" s="67"/>
      <c r="J380" s="67"/>
      <c r="K380" s="67"/>
      <c r="L380" s="67"/>
    </row>
    <row r="381" spans="1:12" ht="12.75">
      <c r="A381" s="78"/>
      <c r="B381" s="67"/>
      <c r="C381" s="67"/>
      <c r="D381" s="67"/>
      <c r="E381" s="67"/>
      <c r="F381" s="67"/>
      <c r="G381" s="67"/>
      <c r="H381" s="67"/>
      <c r="I381" s="67"/>
      <c r="J381" s="67"/>
      <c r="K381" s="67"/>
      <c r="L381" s="67"/>
    </row>
    <row r="382" spans="1:12" ht="12.75">
      <c r="A382" s="78"/>
      <c r="B382" s="67"/>
      <c r="C382" s="67"/>
      <c r="D382" s="67"/>
      <c r="E382" s="67"/>
      <c r="F382" s="67"/>
      <c r="G382" s="67"/>
      <c r="H382" s="67"/>
      <c r="I382" s="67"/>
      <c r="J382" s="67"/>
      <c r="K382" s="67"/>
      <c r="L382" s="67"/>
    </row>
    <row r="383" spans="1:12" ht="12.75">
      <c r="A383" s="78"/>
      <c r="B383" s="67"/>
      <c r="C383" s="67"/>
      <c r="D383" s="67"/>
      <c r="E383" s="67"/>
      <c r="F383" s="67"/>
      <c r="G383" s="67"/>
      <c r="H383" s="67"/>
      <c r="I383" s="67"/>
      <c r="J383" s="67"/>
      <c r="K383" s="67"/>
      <c r="L383" s="67"/>
    </row>
    <row r="384" spans="1:12" ht="12.75">
      <c r="A384" s="78"/>
      <c r="B384" s="67"/>
      <c r="C384" s="67"/>
      <c r="D384" s="67"/>
      <c r="E384" s="67"/>
      <c r="F384" s="67"/>
      <c r="G384" s="67"/>
      <c r="H384" s="67"/>
      <c r="I384" s="67"/>
      <c r="J384" s="67"/>
      <c r="K384" s="67"/>
      <c r="L384" s="67"/>
    </row>
    <row r="385" spans="1:12" ht="12.75">
      <c r="A385" s="78"/>
      <c r="B385" s="67"/>
      <c r="C385" s="67"/>
      <c r="D385" s="67"/>
      <c r="E385" s="67"/>
      <c r="F385" s="67"/>
      <c r="G385" s="67"/>
      <c r="H385" s="67"/>
      <c r="I385" s="67"/>
      <c r="J385" s="67"/>
      <c r="K385" s="67"/>
      <c r="L385" s="67"/>
    </row>
    <row r="386" spans="1:12" ht="12.75">
      <c r="A386" s="78"/>
      <c r="B386" s="67"/>
      <c r="C386" s="67"/>
      <c r="D386" s="67"/>
      <c r="E386" s="67"/>
      <c r="F386" s="67"/>
      <c r="G386" s="67"/>
      <c r="H386" s="67"/>
      <c r="I386" s="67"/>
      <c r="J386" s="67"/>
      <c r="K386" s="67"/>
      <c r="L386" s="67"/>
    </row>
    <row r="387" spans="1:12" ht="12.75">
      <c r="A387" s="78"/>
      <c r="B387" s="67"/>
      <c r="C387" s="67"/>
      <c r="D387" s="67"/>
      <c r="E387" s="67"/>
      <c r="F387" s="67"/>
      <c r="G387" s="67"/>
      <c r="H387" s="67"/>
      <c r="I387" s="67"/>
      <c r="J387" s="67"/>
      <c r="K387" s="67"/>
      <c r="L387" s="67"/>
    </row>
    <row r="388" spans="1:12" ht="12.75">
      <c r="A388" s="78"/>
      <c r="B388" s="67"/>
      <c r="C388" s="67"/>
      <c r="D388" s="67"/>
      <c r="E388" s="67"/>
      <c r="F388" s="67"/>
      <c r="G388" s="67"/>
      <c r="H388" s="67"/>
      <c r="I388" s="67"/>
      <c r="J388" s="67"/>
      <c r="K388" s="67"/>
      <c r="L388" s="67"/>
    </row>
    <row r="389" spans="1:12" ht="12.75">
      <c r="A389" s="78"/>
      <c r="B389" s="67"/>
      <c r="C389" s="67"/>
      <c r="D389" s="67"/>
      <c r="E389" s="67"/>
      <c r="F389" s="67"/>
      <c r="G389" s="67"/>
      <c r="H389" s="67"/>
      <c r="I389" s="67"/>
      <c r="J389" s="67"/>
      <c r="K389" s="67"/>
      <c r="L389" s="67"/>
    </row>
    <row r="390" spans="1:12" ht="12.75">
      <c r="A390" s="78"/>
      <c r="B390" s="67"/>
      <c r="C390" s="67"/>
      <c r="D390" s="67"/>
      <c r="E390" s="67"/>
      <c r="F390" s="67"/>
      <c r="G390" s="67"/>
      <c r="H390" s="67"/>
      <c r="I390" s="67"/>
      <c r="J390" s="67"/>
      <c r="K390" s="67"/>
      <c r="L390" s="67"/>
    </row>
    <row r="391" spans="1:12" ht="12.75">
      <c r="A391" s="78"/>
      <c r="B391" s="67"/>
      <c r="C391" s="67"/>
      <c r="D391" s="67"/>
      <c r="E391" s="67"/>
      <c r="F391" s="67"/>
      <c r="G391" s="67"/>
      <c r="H391" s="67"/>
      <c r="I391" s="67"/>
      <c r="J391" s="67"/>
      <c r="K391" s="67"/>
      <c r="L391" s="67"/>
    </row>
    <row r="392" spans="1:12" ht="12.75">
      <c r="A392" s="78"/>
      <c r="B392" s="67"/>
      <c r="C392" s="67"/>
      <c r="D392" s="67"/>
      <c r="E392" s="67"/>
      <c r="F392" s="67"/>
      <c r="G392" s="67"/>
      <c r="H392" s="67"/>
      <c r="I392" s="67"/>
      <c r="J392" s="67"/>
      <c r="K392" s="67"/>
      <c r="L392" s="67"/>
    </row>
    <row r="393" spans="1:12" ht="12.75">
      <c r="A393" s="78"/>
      <c r="B393" s="67"/>
      <c r="C393" s="67"/>
      <c r="D393" s="67"/>
      <c r="E393" s="67"/>
      <c r="F393" s="67"/>
      <c r="G393" s="67"/>
      <c r="H393" s="67"/>
      <c r="I393" s="67"/>
      <c r="J393" s="67"/>
      <c r="K393" s="67"/>
      <c r="L393" s="67"/>
    </row>
    <row r="394" spans="1:12" ht="12.75">
      <c r="A394" s="78"/>
      <c r="B394" s="67"/>
      <c r="C394" s="67"/>
      <c r="D394" s="67"/>
      <c r="E394" s="67"/>
      <c r="F394" s="67"/>
      <c r="G394" s="67"/>
      <c r="H394" s="67"/>
      <c r="I394" s="67"/>
      <c r="J394" s="67"/>
      <c r="K394" s="67"/>
      <c r="L394" s="67"/>
    </row>
    <row r="395" spans="1:12" ht="12.75">
      <c r="A395" s="78"/>
      <c r="B395" s="67"/>
      <c r="C395" s="67"/>
      <c r="D395" s="67"/>
      <c r="E395" s="67"/>
      <c r="F395" s="67"/>
      <c r="G395" s="67"/>
      <c r="H395" s="67"/>
      <c r="I395" s="67"/>
      <c r="J395" s="67"/>
      <c r="K395" s="67"/>
      <c r="L395" s="67"/>
    </row>
    <row r="396" spans="1:12" ht="12.75">
      <c r="A396" s="78"/>
      <c r="B396" s="67"/>
      <c r="C396" s="67"/>
      <c r="D396" s="67"/>
      <c r="E396" s="67"/>
      <c r="F396" s="67"/>
      <c r="G396" s="67"/>
      <c r="H396" s="67"/>
      <c r="I396" s="67"/>
      <c r="J396" s="67"/>
      <c r="K396" s="67"/>
      <c r="L396" s="67"/>
    </row>
    <row r="397" spans="1:12" ht="12.75">
      <c r="A397" s="78"/>
      <c r="B397" s="67"/>
      <c r="C397" s="67"/>
      <c r="D397" s="67"/>
      <c r="E397" s="67"/>
      <c r="F397" s="67"/>
      <c r="G397" s="67"/>
      <c r="H397" s="67"/>
      <c r="I397" s="67"/>
      <c r="J397" s="67"/>
      <c r="K397" s="67"/>
      <c r="L397" s="67"/>
    </row>
    <row r="398" spans="1:12" ht="12.75">
      <c r="A398" s="78"/>
      <c r="B398" s="67"/>
      <c r="C398" s="67"/>
      <c r="D398" s="67"/>
      <c r="E398" s="67"/>
      <c r="F398" s="67"/>
      <c r="G398" s="67"/>
      <c r="H398" s="67"/>
      <c r="I398" s="67"/>
      <c r="J398" s="67"/>
      <c r="K398" s="67"/>
      <c r="L398" s="67"/>
    </row>
  </sheetData>
  <sheetProtection/>
  <mergeCells count="31">
    <mergeCell ref="A5:L5"/>
    <mergeCell ref="A6:L6"/>
    <mergeCell ref="A7:L7"/>
    <mergeCell ref="A8:L8"/>
    <mergeCell ref="A9:L9"/>
    <mergeCell ref="E13:G13"/>
    <mergeCell ref="I13:K13"/>
    <mergeCell ref="A267:L267"/>
    <mergeCell ref="A134:L134"/>
    <mergeCell ref="A135:L135"/>
    <mergeCell ref="A136:L136"/>
    <mergeCell ref="A137:L137"/>
    <mergeCell ref="A138:L138"/>
    <mergeCell ref="E142:G142"/>
    <mergeCell ref="I142:K142"/>
    <mergeCell ref="A350:B350"/>
    <mergeCell ref="C350:H350"/>
    <mergeCell ref="I350:L350"/>
    <mergeCell ref="A244:B244"/>
    <mergeCell ref="E271:G271"/>
    <mergeCell ref="I271:K271"/>
    <mergeCell ref="A263:L263"/>
    <mergeCell ref="A264:L264"/>
    <mergeCell ref="A265:L265"/>
    <mergeCell ref="A266:L266"/>
    <mergeCell ref="A348:B348"/>
    <mergeCell ref="C348:H348"/>
    <mergeCell ref="I348:L348"/>
    <mergeCell ref="A349:B349"/>
    <mergeCell ref="C349:H349"/>
    <mergeCell ref="I349:L349"/>
  </mergeCells>
  <printOptions horizontalCentered="1" verticalCentered="1"/>
  <pageMargins left="0.2362204724409449" right="0.2362204724409449" top="0" bottom="0" header="0.31496062992125984" footer="0.31496062992125984"/>
  <pageSetup fitToHeight="0" fitToWidth="1" horizontalDpi="600" verticalDpi="600" orientation="portrait" paperSize="9" scale="42" r:id="rId2"/>
  <rowBreaks count="2" manualBreakCount="2">
    <brk id="129" max="11" man="1"/>
    <brk id="258" max="11" man="1"/>
  </rowBreaks>
  <ignoredErrors>
    <ignoredError sqref="F145 H145:J145" formulaRange="1"/>
    <ignoredError sqref="E149:F149 E25:F25 E279:F279 E244 H244:J244 E243:F243 L243 E240:F242 H239 L239 E283:E284 E282:F282 L282 E19 E28:F28 H26 H27 E33:F33 H29 H30 H31 H32 E37 H35 H36 E39:E40 H38:I38 E38 E43 H41 E41 H42 E45:E47 H44:I44 E44 E51:F51 H48:I48 E48 E54:E55 H52 H53 E58 H56 E56 H57 E60 H59:I59 E59 E62:E63 H61:I61 E61 E67:F67 H64 H65 H66:I66 I19 L26 L27 L29 L30 L31 L32 L35 L36 L38 L41 L42 L48 L52 L53 L56 L57 L59 L61 L64 L65 E69:E72 H68 E74:F77 H73:I73 E73 L68 L73 E79 H78 E81:F81 H80 E85:F85 H82 H83 H84 E93:F93 H88 H89 H90 H91 L78 L80 L82 L83 L84 L88 L89 L90 L91 E95 H94 E98:F98 H96:I96 E96 L94 E100 H99 E110 H101 H102 H103:I103 H104 H105 H106 H107 H108 H109:I109 E112:F113 H111:I111 E111 E115:F115 H114 L99 L101 L102 L104 L105 L106 L107 L108 L111 L114 E120:F120 H116 H117 H118:I118 E125:F125 H121 H122 L116 L117 L121 L122 E154:F154 H150 E156:F158 H155:I155 E160 H159 E167:F167 H161 E161 H162 H163 H164 E170:F170 H168 H169 E172:E173 H171 E171 E176:F176 H174 E174 E178:E179 H177 E181:F187 H180 E180 E189:F190 H188:I188 E188 E194:F194 H191 E196:E198 H195 E206:F206 H199 H200 H201 E208 H207 E210 H209:I209 E215:F215 H211:I211 H212 H213 E209 E218:F219 H216 H217:I217 E221:E222 H220 E224 H223 E229:F229 H225 E223 E225 E231 H230 E234:F234 H232 H233 E238 H235 H236 H237 H281 H280 H284:I284 E290:F290 H287 H288 E293 H291 H292 E295:F296 H294 E294 E299:F299 H297 H298 E301:F301 H300 E303:F303 H302 E305:F305 H304 E307:F307 H306 E309 H308 E312:F313 H310 H311 E315:F315 H314 E314 E317:F317 H316 E316 E319:F319 H318 E321:F321 H320 E323:F323 H322 E326:F326 H324 E328:F328 H327 F330 H329 F332 H331 F334 H333 E336:F336 H335:I335 E338:F338 H337 E340:F340 H339 E334:E335 E332 E330 E329 E331 H279 H283 H282 H285:H286 H290 H293 H295:H296 H299 H301 H303 H305 H307 H309 H312:H313 H315 H317 H319 H321 H323 H325:H326 H328 H330 H332 H334 H336 H338 H340 L280 L281 L284 L287 L291 L294 L297 L300 L302 L304 L306 L308 L310 L311 L314 L316 L318 L320 L322 L324 L327 L329 L331 L333 L335 L337 L339 J279 J282 J290 J295:J296 J299 J301 J303 J305 J307 J312:J313 J315 J317 J319 J321 J323 J326 J328 J330 J332 J334 J336 J338 J340 I340 I338 I336 I334 I332 I330 I328 I325:I326 I323 I321 I319 I317 I315 I312:I313 I309 I307 I305 I303 I301 I299 I295:I296 I293 I290 I285 I282 I283 I279 I310 I298 I292 I288 I277:I278 I291 I294 I300 I311 I280 I297 I302 I308 I314 I316 I318 I320 I322 I324 I327 I329 I331 I339 L150 L159 L161 L164 E165 I163 I162 I165 I161 I164 L168 L169 L171 L174 L177 L180 J176 I178:I179 I175:I176 I172:I173 I171 I174 I177 I180 L191 L195 L199 L200 L201 L207 L209 L212 L213 L216 L220 L223 L225 E226 I226 I224 I223 I225 L230 L232 L233 L235 L236 L237 H149:J149 H243:J243 H240:J242 H154:J154 H156:J158 H160:I160 H167:J167 H170:J170 H172:H173 H175:H176 H178:H179 H181:J187 H189:J190 H194:J194 H196:I198 H206:J206 H208:I208 H210:I210 H215:J215 H218:J219 H221:I222 H224 H229:J229 H231:I231 H234:J234 H238:I238 H165 H226 L244 L155 L188 L211 L217 L165 L162 L163 L172:L173 L175:L176 L178:L179 L224 L226 L149 L240:L242 L151:L154 L156:L158 L160 L166:L167 L170 L181:L187 L189:L190 L192:L194 L196:L198 L202:L206 L208 L210 L214:L215 L218:L219 L221:L222 L227:L229 L231 L234 L238 H25:J25 H28:J28 H33:J33 H37:I37 H39:I40 H43:I43 H45:I47 H51:J51 H54:I55 H58:I58 H60:I60 H62:I63 H67:J67 H69:I72 H74:J77 H79:I79 H81:J81 H85:J85 H93:J93 H95:I95 H98:J98 H100:I100 H110:I110 H112:J113 H115:J115 H120:J120 H123:J126 L44 L66 L60 L96 L103 L109 L118 L25 L28 L33:L34 L37 L39:L40 L43 L45:L47 L49:L51 L54:L55 L58 L62:L63 L67 L69:L72 L74:L77 L79 L81 L85:L87 L92:L93 L95 L97:L98 L100 L110 L112:L113 L115 L119:L120 L123:L127 L288 L292 L298 L279 L283 L285:L286 L290 L293 L295:L296 L299 L301 L303 L305 L307 L309 L312:L313 L315 L317 L319 L321 L323 L325:L326 L328 L330 L332 L334 L336 L338 L340 E34 E49:E50 H34:I34 H49:I50 E86:E87 E92 H86:I87 H92:I92 E97 H97:I97 E119 H119:I119 E123:E124 E126:E127 H127:I127 E151:E153 H151:I153 E166 H166:I166 E175 E192:E193 H192:I193 E202:E205 H202:I205 E214 H214:I214 E227:E228 H227:I228 E285 E325 E277" formula="1"/>
    <ignoredError sqref="A17:A127 A145:A243 A289:A340 A275:A288" numberStoredAsText="1"/>
    <ignoredError sqref="G339 G340 G337 G338 G335 G336 G333 G334 G331 G332 G329 G330 G327 G328 G324 G325:G326 G322 G323 G320 G321 G318 G319 G316 G317 G314 G315 G311 G310 G312:G313 G308 G309 G306 G307 G304 G305 G302 G303 G300 G301 G298 G297 G299 G294 G295:G296 G292 G291 G293 G288 G287 G290 G284 G285:G286 G280 G281 G282 G283 G279 G226 G165 G237 G236 G235 G238 G233 G232 G234 G230 G231 G225 G227:G229 G223 G224 G220 G221:G222 G217 G216 G218:G219 G213 G212 G211 G214:G215 G209 G210 G207 G208 G201 G200 G199 G202:G206 G195 G196:G198 G191 G192:G194 G188 G189:G190 G180 G181:G187 G177 G178:G179 G174 G175:G176 G171 G172:G173 G169 G168 G170 G164 G163 G162 G161 G166:G167 G159 G160 G155 G156:G158 G150 G151:G154 G239 G240:G242 G243 G244 G149 K238 K234 K231 K227:K229 K221:K222 K218:K219 K214:K215 K210 K208 K202:K206 K196:K198 K192:K194 K189:K190 K181:K187 K170 K166:K167 K160 K156:K158 K151:K154 K240:K242 K149 K237 K236 K235 K233 K232 K230 K226 K224 K225 K223 K220 K216 K213 K212 K209 K207 K201 K200 K199 K195 K191 K178:K179 K175:K176 K172:K173 K180 K177 K174 K171 K169 K168 K163 K162 K165 K164 K161 K159 K150 K217 K211 K188 K155 K244 G122 G121 G123:G127 G118 G117 G116 G119:G120 G114 G115 G111 G112:G113 G109 G108 G107 G106 G105 G104 G103 G102 G101 G110 G99 G100 G96 G97:G98 G94 G95 G91 G90 G89 G88 G92:G93 G84 G83 G82 G85:G87 G80 G81 G78 G79 G73 G74:G77 G68 G69:G72 G66 G65 G64 G67 G61 G62:G63 G59 G60 G57 G56 G58 G53 G52 G54:G55 G48 G49:G51 G44 G45:G47 G42 G41 G43 G38 G39:G40 G36 G35 G37 G32 G31 G30 G29 G33:G34 G27 G26 G28 G25 K123:K127 K119:K120 K115 K112:K113 K110 K100 K97:K98 K95 K92:K93 K85:K87 K81 K79 K74:K77 K69:K72 K67 K62:K63 K58 K54:K55 K49:K51 K45:K47 K43 K39:K40 K37 K33:K34 K28 K25 K122 K121 K117 K116 K118 K114 K111 K108 K107 K106 K105 K104 K102 K101 K99 K109 K103 K94 K96 K91 K90 K89 K88 K84 K83 K82 K80 K78 K73 K68 K60 K65 K64 K61 K59 K57 K56 K53 K52 K48 K42 K41 K38 K36 K35 K32 K31 K30 K29 K27 K26 K66 K44 K340 K338 K336 K334 K332 K330 K328 K325:K326 K323 K321 K319 K317 K315 K312:K313 K309 K307 K305 K303 K301 K299 K295:K296 K293 K290 K285:K286 K283 K279 K298 K292 K288 K339 K337 K335 K333 K331 K329 K327 K324 K322 K320 K318 K316 K314 K311 K310 K308 K306 K304 K302 K300 K297 K294 K291 K287 K284 K281 K280 G145 K145" evalError="1" formula="1"/>
    <ignoredError sqref="G274:G278 G146:G148 K146:K148 K239 K243 G16:G24 K16:K24 K274:K278 K282" evalError="1"/>
    <ignoredError sqref="G145 K145" evalError="1" formulaRange="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sefcon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Dcpacheco</dc:creator>
  <cp:keywords/>
  <dc:description/>
  <cp:lastModifiedBy>Renato Ferreira Costa</cp:lastModifiedBy>
  <cp:lastPrinted>2019-05-15T19:59:01Z</cp:lastPrinted>
  <dcterms:created xsi:type="dcterms:W3CDTF">2005-03-08T15:13:02Z</dcterms:created>
  <dcterms:modified xsi:type="dcterms:W3CDTF">2019-05-15T20:00:21Z</dcterms:modified>
  <cp:category/>
  <cp:version/>
  <cp:contentType/>
  <cp:contentStatus/>
</cp:coreProperties>
</file>