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<sst xmlns="http://schemas.openxmlformats.org/spreadsheetml/2006/main" count="288" uniqueCount="159">
  <si>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</si>
  <si>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</si>
  <si>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</si>
  <si>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</si>
  <si>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</si>
  <si>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</si>
  <si>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</si>
  <si>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</si>
  <si>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</si>
  <si>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</si>
  <si>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</si>
  <si>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</si>
  <si>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</si>
  <si>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</si>
  <si>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</si>
  <si>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</si>
  <si>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</si>
  <si>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</si>
  <si>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</si>
  <si>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</si>
  <si>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</si>
  <si>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</si>
  <si>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</si>
  <si>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</si>
  <si>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</si>
  <si>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</si>
  <si>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</si>
  <si>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</si>
  <si>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</si>
  <si>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</si>
  <si>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</si>
  <si>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</si>
  <si>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</si>
  <si>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</si>
  <si>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</si>
  <si>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</si>
  <si>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</si>
  <si>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</si>
  <si>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</si>
  <si>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</si>
  <si>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</si>
  <si>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</si>
  <si>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</si>
  <si>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</si>
  <si>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</si>
  <si>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</si>
  <si>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</si>
  <si>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</si>
  <si>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</si>
  <si>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</si>
  <si>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</si>
  <si>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</si>
  <si>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</si>
  <si>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</si>
  <si>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</si>
  <si>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</si>
  <si>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</si>
  <si>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</si>
  <si>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</si>
  <si>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</si>
  <si>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</si>
  <si>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</si>
  <si>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</si>
  <si>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</si>
  <si>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</si>
  <si>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</si>
  <si>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</si>
  <si>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</si>
  <si>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</si>
  <si>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</si>
  <si>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</si>
  <si>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</si>
  <si>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</si>
  <si>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</si>
  <si>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</si>
  <si>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</si>
  <si>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</si>
  <si>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</si>
  <si>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</si>
  <si>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</si>
  <si>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</si>
  <si>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</si>
  <si>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</si>
  <si>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</si>
  <si>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</si>
  <si>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</si>
  <si>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</si>
  <si>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</si>
  <si>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</si>
  <si>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</si>
  <si>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</si>
  <si>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</si>
  <si>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</si>
  <si>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</si>
  <si>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</si>
  <si>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</si>
  <si>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</si>
  <si>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</si>
  <si>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</si>
  <si>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</si>
  <si>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</si>
  <si>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</si>
  <si>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</si>
  <si>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</si>
  <si>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</si>
  <si>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</si>
  <si>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</si>
  <si>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</si>
  <si>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</si>
  <si>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</si>
  <si>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</si>
  <si>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</si>
  <si>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</si>
  <si>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</si>
  <si>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</si>
  <si>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</si>
  <si>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</si>
  <si>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</si>
  <si>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</si>
  <si>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</si>
  <si>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</si>
  <si>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</si>
  <si>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</si>
  <si>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</si>
  <si>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</si>
  <si>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</si>
  <si>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</si>
  <si>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</si>
  <si>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</si>
  <si>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</si>
  <si>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 xml:space="preserve">  JUROS E ENCARGOS DA DÍVIDA</t>
  </si>
  <si>
    <r>
      <t>INSCRITAS EM RESTOS A PAGAR NÃO PROCESSADOS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(k) </t>
    </r>
  </si>
  <si>
    <t>Até o 
Bimestre</t>
  </si>
  <si>
    <t xml:space="preserve">INSCRITAS EM RESTOS A PAGAR NÃO PROCESSADOS                           (K)         </t>
  </si>
  <si>
    <t xml:space="preserve">            Contribuições de Melhoria</t>
  </si>
  <si>
    <t>TOTAL DAS RECEITAS (V) = (III + IV)</t>
  </si>
  <si>
    <t xml:space="preserve">           Transferências a Municípios²</t>
  </si>
  <si>
    <t xml:space="preserve">           Demais Despesas Correntes²</t>
  </si>
  <si>
    <t>DÉFICIT (VI)¹</t>
  </si>
  <si>
    <t>TOTAL DAS DESPESAS (XII) = (X + XI)</t>
  </si>
  <si>
    <t>TOTAL COM SUPERÁVIT (XIV) = (XII + XIII)</t>
  </si>
  <si>
    <t xml:space="preserve">        CONTRIBUIÇÕES</t>
  </si>
  <si>
    <t>Obs.:  1 - Excluídas a Imprensa Oficial, a CEDAE e a AGERIO por não se enquadrarem no conceito de Empresa Dependente.</t>
  </si>
  <si>
    <t xml:space="preserve">          3 - A diferença de R$ 20.255.979.414,00 (Vinte bilhões, duzentos e cinquenta e cinco milhões, novecentos e setenta e nove mil e quatrocentos e quatorze reais) entre a Previsão Inicial da Receita e a Dotação Inicial da Despesa é referente ao "Déficit do Orçamento" considerado na Lei Orçamentária Anual de 2021.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</si>
  <si>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</si>
  <si>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¹ O déficit será apurado pela diferença entre a receita realizada e a despesa liquidada nos cinco primeiros bimestres e a despesa empenhada no último bimestre.</t>
  </si>
  <si>
    <t>² Essa linha será apresentada somente no Demonstrativo aplicado aos Estados.</t>
  </si>
  <si>
    <t>Yasmim da Costa Monteiro</t>
  </si>
  <si>
    <t>Contadora - CRC-RJ-114428/O-0</t>
  </si>
  <si>
    <t xml:space="preserve"> Subsecretária de Contabilidade Geral - ID: 4.461.243-5</t>
  </si>
  <si>
    <t>JANEIRO A DEZEMBRO 2022/BIMESTRE NOVEMBRO-DEZEMBRO</t>
  </si>
  <si>
    <t xml:space="preserve">            Outras Transferências</t>
  </si>
  <si>
    <t>TOTAL COM DÉFICIT (VII) = (V + VI)</t>
  </si>
  <si>
    <t>SALDOS DE EXERCÍCIOS ANTERIORES</t>
  </si>
  <si>
    <t xml:space="preserve">          2 - Imprensa Oficial, CEDAE e AGERIO não constam nos Orçamentos Fiscal e da Seguridade Social no exercício de 2022.</t>
  </si>
  <si>
    <t xml:space="preserve">    RESERVA DE CONTIGÊNCIA</t>
  </si>
  <si>
    <t xml:space="preserve">            Multas e Juros de Mora das Receitas de Capital</t>
  </si>
  <si>
    <t>Emissão: 25/01/2023</t>
  </si>
  <si>
    <t xml:space="preserve">            Outras Transferências de Capital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</si>
</sst>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47" applyNumberFormat="1" applyFont="1" applyFill="1" applyAlignment="1">
      <alignment/>
      <protection/>
    </xf>
    <xf numFmtId="0" fontId="2" fillId="0" borderId="0" xfId="47" applyNumberFormat="1" applyFont="1" applyFill="1" applyAlignment="1">
      <alignment/>
      <protection/>
    </xf>
    <xf numFmtId="0" fontId="3" fillId="0" borderId="0" xfId="47" applyNumberFormat="1" applyFont="1" applyFill="1" applyAlignment="1">
      <alignment/>
      <protection/>
    </xf>
    <xf numFmtId="0" fontId="4" fillId="0" borderId="0" xfId="47" applyNumberFormat="1" applyFont="1" applyFill="1" applyAlignment="1">
      <alignment/>
      <protection/>
    </xf>
    <xf numFmtId="49" fontId="4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 horizontal="center"/>
      <protection/>
    </xf>
    <xf numFmtId="0" fontId="3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3" fillId="0" borderId="0" xfId="47" applyFont="1" applyFill="1" applyAlignment="1">
      <alignment/>
      <protection/>
    </xf>
    <xf numFmtId="172" fontId="3" fillId="0" borderId="0" xfId="47" applyNumberFormat="1" applyFont="1" applyFill="1" applyAlignment="1">
      <alignment/>
      <protection/>
    </xf>
    <xf numFmtId="0" fontId="3" fillId="0" borderId="0" xfId="47" applyFont="1" applyFill="1" applyAlignment="1">
      <alignment horizontal="right"/>
      <protection/>
    </xf>
    <xf numFmtId="167" fontId="3" fillId="0" borderId="0" xfId="47" applyNumberFormat="1" applyFont="1" applyFill="1" applyAlignment="1">
      <alignment horizontal="right"/>
      <protection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7" applyNumberFormat="1" applyFont="1" applyFill="1" applyAlignment="1">
      <alignment/>
      <protection/>
    </xf>
    <xf numFmtId="169" fontId="1" fillId="33" borderId="11" xfId="64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174" fontId="3" fillId="0" borderId="0" xfId="47" applyNumberFormat="1" applyFont="1" applyFill="1" applyAlignment="1">
      <alignment/>
      <protection/>
    </xf>
    <xf numFmtId="169" fontId="3" fillId="33" borderId="11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174" fontId="45" fillId="0" borderId="0" xfId="47" applyNumberFormat="1" applyFont="1" applyFill="1" applyAlignment="1">
      <alignment/>
      <protection/>
    </xf>
    <xf numFmtId="169" fontId="3" fillId="0" borderId="0" xfId="47" applyNumberFormat="1" applyFont="1" applyFill="1" applyAlignment="1">
      <alignment/>
      <protection/>
    </xf>
    <xf numFmtId="171" fontId="3" fillId="33" borderId="12" xfId="63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/>
    </xf>
    <xf numFmtId="180" fontId="3" fillId="33" borderId="15" xfId="63" applyNumberFormat="1" applyFont="1" applyFill="1" applyBorder="1" applyAlignment="1">
      <alignment horizontal="right"/>
    </xf>
    <xf numFmtId="180" fontId="1" fillId="33" borderId="15" xfId="63" applyNumberFormat="1" applyFont="1" applyFill="1" applyBorder="1" applyAlignment="1">
      <alignment horizontal="right"/>
    </xf>
    <xf numFmtId="169" fontId="45" fillId="0" borderId="0" xfId="47" applyNumberFormat="1" applyFont="1" applyFill="1" applyAlignment="1">
      <alignment/>
      <protection/>
    </xf>
    <xf numFmtId="169" fontId="45" fillId="33" borderId="0" xfId="47" applyNumberFormat="1" applyFont="1" applyFill="1" applyAlignment="1">
      <alignment wrapText="1"/>
      <protection/>
    </xf>
    <xf numFmtId="0" fontId="2" fillId="33" borderId="0" xfId="47" applyFont="1" applyFill="1" applyBorder="1">
      <alignment/>
      <protection/>
    </xf>
    <xf numFmtId="37" fontId="2" fillId="33" borderId="0" xfId="47" applyNumberFormat="1" applyFont="1" applyFill="1" applyBorder="1" applyAlignment="1">
      <alignment horizontal="center"/>
      <protection/>
    </xf>
    <xf numFmtId="0" fontId="2" fillId="33" borderId="0" xfId="47" applyNumberFormat="1" applyFont="1" applyFill="1" applyBorder="1" applyAlignment="1">
      <alignment horizontal="center"/>
      <protection/>
    </xf>
    <xf numFmtId="0" fontId="2" fillId="33" borderId="0" xfId="47" applyFont="1" applyFill="1" applyBorder="1" applyAlignment="1">
      <alignment horizontal="center"/>
      <protection/>
    </xf>
    <xf numFmtId="37" fontId="2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center" vertical="center"/>
      <protection/>
    </xf>
    <xf numFmtId="169" fontId="3" fillId="33" borderId="16" xfId="64" applyNumberFormat="1" applyFont="1" applyFill="1" applyBorder="1" applyAlignment="1">
      <alignment horizontal="right"/>
    </xf>
    <xf numFmtId="4" fontId="1" fillId="0" borderId="0" xfId="47" applyNumberFormat="1" applyFont="1" applyFill="1" applyAlignment="1">
      <alignment/>
      <protection/>
    </xf>
    <xf numFmtId="4" fontId="3" fillId="0" borderId="0" xfId="47" applyNumberFormat="1" applyFont="1" applyFill="1" applyAlignment="1">
      <alignment/>
      <protection/>
    </xf>
    <xf numFmtId="43" fontId="3" fillId="0" borderId="0" xfId="47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1" fillId="33" borderId="17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69" fontId="3" fillId="33" borderId="15" xfId="47" applyNumberFormat="1" applyFont="1" applyFill="1" applyBorder="1" applyAlignment="1">
      <alignment/>
      <protection/>
    </xf>
    <xf numFmtId="171" fontId="3" fillId="0" borderId="0" xfId="63" applyFont="1" applyFill="1" applyAlignment="1">
      <alignment/>
    </xf>
    <xf numFmtId="0" fontId="6" fillId="33" borderId="0" xfId="47" applyFont="1" applyFill="1" applyBorder="1">
      <alignment/>
      <protection/>
    </xf>
    <xf numFmtId="37" fontId="6" fillId="33" borderId="0" xfId="47" applyNumberFormat="1" applyFont="1" applyFill="1" applyBorder="1" applyAlignment="1">
      <alignment horizontal="center"/>
      <protection/>
    </xf>
    <xf numFmtId="169" fontId="6" fillId="33" borderId="0" xfId="47" applyNumberFormat="1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37" fontId="6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right" vertical="center"/>
      <protection/>
    </xf>
    <xf numFmtId="49" fontId="4" fillId="33" borderId="0" xfId="47" applyNumberFormat="1" applyFont="1" applyFill="1" applyAlignment="1">
      <alignment horizontal="center"/>
      <protection/>
    </xf>
    <xf numFmtId="0" fontId="4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 horizontal="center"/>
      <protection/>
    </xf>
    <xf numFmtId="0" fontId="3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/>
      <protection/>
    </xf>
    <xf numFmtId="0" fontId="3" fillId="33" borderId="0" xfId="47" applyFont="1" applyFill="1" applyBorder="1" applyAlignment="1">
      <alignment/>
      <protection/>
    </xf>
    <xf numFmtId="167" fontId="3" fillId="33" borderId="0" xfId="47" applyNumberFormat="1" applyFont="1" applyFill="1" applyAlignment="1">
      <alignment horizontal="right"/>
      <protection/>
    </xf>
    <xf numFmtId="0" fontId="3" fillId="33" borderId="0" xfId="47" applyNumberFormat="1" applyFont="1" applyFill="1" applyAlignment="1">
      <alignment/>
      <protection/>
    </xf>
    <xf numFmtId="169" fontId="3" fillId="33" borderId="19" xfId="64" applyNumberFormat="1" applyFont="1" applyFill="1" applyBorder="1" applyAlignment="1">
      <alignment horizontal="right"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7" applyFont="1" applyFill="1" applyBorder="1" applyAlignment="1">
      <alignment horizontal="left" vertical="center"/>
      <protection/>
    </xf>
    <xf numFmtId="169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7" applyFont="1" applyFill="1" applyBorder="1" applyAlignment="1">
      <alignment horizontal="left" vertical="center"/>
      <protection/>
    </xf>
    <xf numFmtId="0" fontId="46" fillId="0" borderId="0" xfId="47" applyFont="1" applyFill="1" applyBorder="1" applyAlignment="1">
      <alignment horizontal="left" vertical="center"/>
      <protection/>
    </xf>
    <xf numFmtId="0" fontId="6" fillId="0" borderId="0" xfId="47" applyNumberFormat="1" applyFont="1" applyFill="1" applyAlignment="1">
      <alignment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0" xfId="47" applyNumberFormat="1" applyFont="1" applyFill="1" applyBorder="1" applyAlignment="1">
      <alignment horizontal="center"/>
      <protection/>
    </xf>
    <xf numFmtId="49" fontId="1" fillId="34" borderId="15" xfId="47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0" xfId="47" applyNumberFormat="1" applyFont="1" applyFill="1" applyBorder="1" applyAlignment="1">
      <alignment horizontal="center"/>
      <protection/>
    </xf>
    <xf numFmtId="0" fontId="1" fillId="34" borderId="12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5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/>
      <protection/>
    </xf>
    <xf numFmtId="169" fontId="2" fillId="0" borderId="0" xfId="47" applyNumberFormat="1" applyFont="1" applyFill="1" applyAlignment="1">
      <alignment/>
      <protection/>
    </xf>
    <xf numFmtId="0" fontId="3" fillId="33" borderId="0" xfId="47" applyNumberFormat="1" applyFont="1" applyFill="1" applyAlignment="1">
      <alignment horizontal="right"/>
      <protection/>
    </xf>
    <xf numFmtId="169" fontId="3" fillId="33" borderId="0" xfId="64" applyNumberFormat="1" applyFont="1" applyFill="1" applyBorder="1" applyAlignment="1">
      <alignment horizontal="right"/>
    </xf>
    <xf numFmtId="0" fontId="1" fillId="34" borderId="17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/>
      <protection/>
    </xf>
    <xf numFmtId="169" fontId="1" fillId="33" borderId="20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/>
    </xf>
    <xf numFmtId="169" fontId="3" fillId="33" borderId="11" xfId="64" applyNumberFormat="1" applyFont="1" applyFill="1" applyBorder="1" applyAlignment="1">
      <alignment/>
    </xf>
    <xf numFmtId="169" fontId="1" fillId="33" borderId="22" xfId="64" applyNumberFormat="1" applyFont="1" applyFill="1" applyBorder="1" applyAlignment="1">
      <alignment/>
    </xf>
    <xf numFmtId="169" fontId="3" fillId="33" borderId="19" xfId="64" applyNumberFormat="1" applyFont="1" applyFill="1" applyBorder="1" applyAlignment="1">
      <alignment/>
    </xf>
    <xf numFmtId="169" fontId="3" fillId="33" borderId="12" xfId="64" applyNumberFormat="1" applyFont="1" applyFill="1" applyBorder="1" applyAlignment="1">
      <alignment/>
    </xf>
    <xf numFmtId="169" fontId="3" fillId="33" borderId="15" xfId="64" applyNumberFormat="1" applyFont="1" applyFill="1" applyBorder="1" applyAlignment="1">
      <alignment/>
    </xf>
    <xf numFmtId="0" fontId="1" fillId="34" borderId="19" xfId="47" applyNumberFormat="1" applyFont="1" applyFill="1" applyBorder="1" applyAlignment="1">
      <alignment horizontal="center"/>
      <protection/>
    </xf>
    <xf numFmtId="174" fontId="3" fillId="33" borderId="16" xfId="63" applyNumberFormat="1" applyFont="1" applyFill="1" applyBorder="1" applyAlignment="1">
      <alignment/>
    </xf>
    <xf numFmtId="174" fontId="3" fillId="33" borderId="11" xfId="63" applyNumberFormat="1" applyFont="1" applyFill="1" applyBorder="1" applyAlignment="1">
      <alignment/>
    </xf>
    <xf numFmtId="174" fontId="1" fillId="33" borderId="17" xfId="63" applyNumberFormat="1" applyFont="1" applyFill="1" applyBorder="1" applyAlignment="1">
      <alignment/>
    </xf>
    <xf numFmtId="174" fontId="1" fillId="33" borderId="16" xfId="63" applyNumberFormat="1" applyFont="1" applyFill="1" applyBorder="1" applyAlignment="1">
      <alignment/>
    </xf>
    <xf numFmtId="169" fontId="3" fillId="33" borderId="16" xfId="64" applyNumberFormat="1" applyFont="1" applyFill="1" applyBorder="1" applyAlignment="1">
      <alignment/>
    </xf>
    <xf numFmtId="169" fontId="1" fillId="33" borderId="16" xfId="64" applyNumberFormat="1" applyFont="1" applyFill="1" applyBorder="1" applyAlignment="1">
      <alignment/>
    </xf>
    <xf numFmtId="169" fontId="1" fillId="33" borderId="23" xfId="64" applyNumberFormat="1" applyFont="1" applyFill="1" applyBorder="1" applyAlignment="1">
      <alignment/>
    </xf>
    <xf numFmtId="169" fontId="1" fillId="33" borderId="17" xfId="64" applyNumberFormat="1" applyFont="1" applyFill="1" applyBorder="1" applyAlignment="1">
      <alignment/>
    </xf>
    <xf numFmtId="169" fontId="3" fillId="33" borderId="18" xfId="64" applyNumberFormat="1" applyFont="1" applyFill="1" applyBorder="1" applyAlignment="1">
      <alignment/>
    </xf>
    <xf numFmtId="169" fontId="1" fillId="33" borderId="23" xfId="63" applyNumberFormat="1" applyFont="1" applyFill="1" applyBorder="1" applyAlignment="1">
      <alignment/>
    </xf>
    <xf numFmtId="169" fontId="3" fillId="33" borderId="23" xfId="63" applyNumberFormat="1" applyFont="1" applyFill="1" applyBorder="1" applyAlignment="1">
      <alignment wrapText="1"/>
    </xf>
    <xf numFmtId="174" fontId="3" fillId="33" borderId="18" xfId="63" applyNumberFormat="1" applyFont="1" applyFill="1" applyBorder="1" applyAlignment="1">
      <alignment/>
    </xf>
    <xf numFmtId="174" fontId="3" fillId="33" borderId="19" xfId="63" applyNumberFormat="1" applyFont="1" applyFill="1" applyBorder="1" applyAlignment="1">
      <alignment/>
    </xf>
    <xf numFmtId="169" fontId="3" fillId="33" borderId="0" xfId="47" applyNumberFormat="1" applyFont="1" applyFill="1" applyAlignment="1">
      <alignment horizontal="center"/>
      <protection/>
    </xf>
    <xf numFmtId="0" fontId="6" fillId="0" borderId="0" xfId="47" applyFont="1" applyAlignment="1">
      <alignment horizontal="left" vertical="center"/>
      <protection/>
    </xf>
    <xf numFmtId="0" fontId="6" fillId="33" borderId="0" xfId="47" applyFont="1" applyFill="1" applyAlignment="1">
      <alignment horizontal="left" vertical="center"/>
      <protection/>
    </xf>
    <xf numFmtId="0" fontId="6" fillId="33" borderId="0" xfId="47" applyFont="1" applyFill="1" applyAlignment="1">
      <alignment horizontal="left" vertical="center" wrapText="1"/>
      <protection/>
    </xf>
    <xf numFmtId="169" fontId="6" fillId="0" borderId="0" xfId="47" applyNumberFormat="1" applyFont="1">
      <alignment/>
      <protection/>
    </xf>
    <xf numFmtId="0" fontId="6" fillId="33" borderId="0" xfId="47" applyFont="1" applyFill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5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80" fontId="3" fillId="33" borderId="13" xfId="64" applyNumberFormat="1" applyFont="1" applyFill="1" applyBorder="1" applyAlignment="1">
      <alignment horizontal="right"/>
    </xf>
    <xf numFmtId="180" fontId="3" fillId="33" borderId="13" xfId="63" applyNumberFormat="1" applyFont="1" applyFill="1" applyBorder="1" applyAlignment="1">
      <alignment/>
    </xf>
    <xf numFmtId="180" fontId="1" fillId="33" borderId="16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0" fontId="6" fillId="0" borderId="0" xfId="47" applyFont="1">
      <alignment/>
      <protection/>
    </xf>
    <xf numFmtId="171" fontId="3" fillId="33" borderId="11" xfId="63" applyNumberFormat="1" applyFont="1" applyFill="1" applyBorder="1" applyAlignment="1">
      <alignment/>
    </xf>
    <xf numFmtId="180" fontId="1" fillId="33" borderId="19" xfId="64" applyNumberFormat="1" applyFont="1" applyFill="1" applyBorder="1" applyAlignment="1">
      <alignment/>
    </xf>
    <xf numFmtId="180" fontId="1" fillId="33" borderId="22" xfId="64" applyNumberFormat="1" applyFont="1" applyFill="1" applyBorder="1" applyAlignment="1">
      <alignment/>
    </xf>
    <xf numFmtId="180" fontId="3" fillId="33" borderId="11" xfId="64" applyNumberFormat="1" applyFont="1" applyFill="1" applyBorder="1" applyAlignment="1">
      <alignment/>
    </xf>
    <xf numFmtId="180" fontId="1" fillId="33" borderId="11" xfId="64" applyNumberFormat="1" applyFont="1" applyFill="1" applyBorder="1" applyAlignment="1">
      <alignment/>
    </xf>
    <xf numFmtId="171" fontId="3" fillId="33" borderId="11" xfId="64" applyNumberFormat="1" applyFont="1" applyFill="1" applyBorder="1" applyAlignment="1">
      <alignment/>
    </xf>
    <xf numFmtId="180" fontId="3" fillId="33" borderId="16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3" fillId="33" borderId="11" xfId="63" applyNumberFormat="1" applyFont="1" applyFill="1" applyBorder="1" applyAlignment="1">
      <alignment/>
    </xf>
    <xf numFmtId="171" fontId="1" fillId="33" borderId="21" xfId="63" applyNumberFormat="1" applyFont="1" applyFill="1" applyBorder="1" applyAlignment="1">
      <alignment/>
    </xf>
    <xf numFmtId="171" fontId="1" fillId="33" borderId="11" xfId="63" applyNumberFormat="1" applyFont="1" applyFill="1" applyBorder="1" applyAlignment="1">
      <alignment/>
    </xf>
    <xf numFmtId="180" fontId="1" fillId="33" borderId="10" xfId="64" applyNumberFormat="1" applyFont="1" applyFill="1" applyBorder="1" applyAlignment="1">
      <alignment/>
    </xf>
    <xf numFmtId="180" fontId="1" fillId="33" borderId="12" xfId="64" applyNumberFormat="1" applyFont="1" applyFill="1" applyBorder="1" applyAlignment="1">
      <alignment/>
    </xf>
    <xf numFmtId="180" fontId="3" fillId="33" borderId="12" xfId="64" applyNumberFormat="1" applyFont="1" applyFill="1" applyBorder="1" applyAlignment="1">
      <alignment/>
    </xf>
    <xf numFmtId="180" fontId="1" fillId="33" borderId="15" xfId="64" applyNumberFormat="1" applyFont="1" applyFill="1" applyBorder="1" applyAlignment="1">
      <alignment/>
    </xf>
    <xf numFmtId="180" fontId="1" fillId="33" borderId="21" xfId="64" applyNumberFormat="1" applyFont="1" applyFill="1" applyBorder="1" applyAlignment="1">
      <alignment/>
    </xf>
    <xf numFmtId="180" fontId="3" fillId="33" borderId="0" xfId="47" applyNumberFormat="1" applyFont="1" applyFill="1" applyAlignment="1">
      <alignment/>
      <protection/>
    </xf>
    <xf numFmtId="180" fontId="3" fillId="33" borderId="18" xfId="64" applyNumberFormat="1" applyFont="1" applyFill="1" applyBorder="1" applyAlignment="1">
      <alignment horizontal="right"/>
    </xf>
    <xf numFmtId="180" fontId="3" fillId="33" borderId="15" xfId="64" applyNumberFormat="1" applyFont="1" applyFill="1" applyBorder="1" applyAlignment="1">
      <alignment/>
    </xf>
    <xf numFmtId="171" fontId="1" fillId="33" borderId="22" xfId="63" applyFont="1" applyFill="1" applyBorder="1" applyAlignment="1">
      <alignment/>
    </xf>
    <xf numFmtId="171" fontId="1" fillId="33" borderId="13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right"/>
    </xf>
    <xf numFmtId="171" fontId="1" fillId="33" borderId="22" xfId="63" applyFont="1" applyFill="1" applyBorder="1" applyAlignment="1">
      <alignment horizontal="right"/>
    </xf>
    <xf numFmtId="171" fontId="1" fillId="33" borderId="19" xfId="63" applyFont="1" applyFill="1" applyBorder="1" applyAlignment="1">
      <alignment horizontal="right"/>
    </xf>
    <xf numFmtId="171" fontId="1" fillId="33" borderId="23" xfId="63" applyFont="1" applyFill="1" applyBorder="1" applyAlignment="1">
      <alignment horizontal="right"/>
    </xf>
    <xf numFmtId="171" fontId="1" fillId="33" borderId="13" xfId="63" applyFont="1" applyFill="1" applyBorder="1" applyAlignment="1">
      <alignment/>
    </xf>
    <xf numFmtId="171" fontId="1" fillId="33" borderId="15" xfId="63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0" fontId="6" fillId="33" borderId="0" xfId="47" applyFont="1" applyFill="1" applyAlignment="1">
      <alignment horizontal="left" vertical="center" wrapText="1"/>
      <protection/>
    </xf>
    <xf numFmtId="180" fontId="3" fillId="33" borderId="16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3" fontId="2" fillId="33" borderId="0" xfId="47" applyNumberFormat="1" applyFont="1" applyFill="1" applyBorder="1" applyAlignment="1">
      <alignment horizontal="center"/>
      <protection/>
    </xf>
    <xf numFmtId="171" fontId="1" fillId="33" borderId="0" xfId="63" applyFont="1" applyFill="1" applyAlignment="1">
      <alignment horizontal="right"/>
    </xf>
    <xf numFmtId="171" fontId="3" fillId="33" borderId="16" xfId="63" applyFont="1" applyFill="1" applyBorder="1" applyAlignment="1">
      <alignment/>
    </xf>
    <xf numFmtId="171" fontId="3" fillId="33" borderId="11" xfId="63" applyFont="1" applyFill="1" applyBorder="1" applyAlignment="1">
      <alignment/>
    </xf>
    <xf numFmtId="171" fontId="1" fillId="33" borderId="11" xfId="63" applyFont="1" applyFill="1" applyBorder="1" applyAlignment="1">
      <alignment/>
    </xf>
    <xf numFmtId="171" fontId="3" fillId="33" borderId="12" xfId="63" applyFont="1" applyFill="1" applyBorder="1" applyAlignment="1">
      <alignment/>
    </xf>
    <xf numFmtId="171" fontId="3" fillId="33" borderId="16" xfId="63" applyFont="1" applyFill="1" applyBorder="1" applyAlignment="1">
      <alignment horizontal="right"/>
    </xf>
    <xf numFmtId="171" fontId="2" fillId="35" borderId="13" xfId="63" applyFont="1" applyFill="1" applyBorder="1" applyAlignment="1">
      <alignment/>
    </xf>
    <xf numFmtId="43" fontId="6" fillId="33" borderId="0" xfId="47" applyNumberFormat="1" applyFont="1" applyFill="1" applyBorder="1" applyAlignment="1">
      <alignment horizontal="center"/>
      <protection/>
    </xf>
    <xf numFmtId="171" fontId="1" fillId="33" borderId="18" xfId="63" applyFont="1" applyFill="1" applyBorder="1" applyAlignment="1">
      <alignment/>
    </xf>
    <xf numFmtId="171" fontId="1" fillId="33" borderId="19" xfId="63" applyFont="1" applyFill="1" applyBorder="1" applyAlignment="1">
      <alignment/>
    </xf>
    <xf numFmtId="171" fontId="2" fillId="35" borderId="23" xfId="63" applyFont="1" applyFill="1" applyBorder="1" applyAlignment="1">
      <alignment/>
    </xf>
    <xf numFmtId="171" fontId="2" fillId="35" borderId="12" xfId="63" applyFont="1" applyFill="1" applyBorder="1" applyAlignment="1">
      <alignment/>
    </xf>
    <xf numFmtId="180" fontId="1" fillId="33" borderId="15" xfId="64" applyNumberFormat="1" applyFont="1" applyFill="1" applyBorder="1" applyAlignment="1">
      <alignment horizontal="right"/>
    </xf>
    <xf numFmtId="171" fontId="2" fillId="35" borderId="16" xfId="63" applyFont="1" applyFill="1" applyBorder="1" applyAlignment="1">
      <alignment/>
    </xf>
    <xf numFmtId="180" fontId="3" fillId="33" borderId="16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180" fontId="3" fillId="33" borderId="16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49" fontId="3" fillId="0" borderId="11" xfId="47" applyNumberFormat="1" applyFont="1" applyFill="1" applyBorder="1" applyAlignment="1">
      <alignment horizontal="left"/>
      <protection/>
    </xf>
    <xf numFmtId="169" fontId="3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80" fontId="3" fillId="33" borderId="11" xfId="63" applyNumberFormat="1" applyFont="1" applyFill="1" applyBorder="1" applyAlignment="1">
      <alignment horizontal="right"/>
    </xf>
    <xf numFmtId="171" fontId="3" fillId="33" borderId="11" xfId="63" applyFont="1" applyFill="1" applyBorder="1" applyAlignment="1">
      <alignment horizontal="right"/>
    </xf>
    <xf numFmtId="171" fontId="3" fillId="0" borderId="22" xfId="63" applyFont="1" applyFill="1" applyBorder="1" applyAlignment="1">
      <alignment wrapText="1"/>
    </xf>
    <xf numFmtId="0" fontId="1" fillId="0" borderId="0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 horizontal="left" indent="2"/>
      <protection/>
    </xf>
    <xf numFmtId="0" fontId="1" fillId="0" borderId="19" xfId="47" applyNumberFormat="1" applyFont="1" applyFill="1" applyBorder="1" applyAlignment="1">
      <alignment/>
      <protection/>
    </xf>
    <xf numFmtId="180" fontId="1" fillId="0" borderId="16" xfId="64" applyNumberFormat="1" applyFont="1" applyFill="1" applyBorder="1" applyAlignment="1">
      <alignment horizontal="right"/>
    </xf>
    <xf numFmtId="49" fontId="3" fillId="0" borderId="0" xfId="47" applyNumberFormat="1" applyFont="1" applyFill="1" applyBorder="1" applyAlignment="1">
      <alignment horizontal="left"/>
      <protection/>
    </xf>
    <xf numFmtId="0" fontId="1" fillId="0" borderId="0" xfId="47" applyNumberFormat="1" applyFont="1" applyFill="1" applyBorder="1" applyAlignment="1">
      <alignment wrapText="1"/>
      <protection/>
    </xf>
    <xf numFmtId="49" fontId="3" fillId="0" borderId="11" xfId="47" applyNumberFormat="1" applyFont="1" applyFill="1" applyBorder="1" applyAlignment="1">
      <alignment/>
      <protection/>
    </xf>
    <xf numFmtId="0" fontId="1" fillId="0" borderId="24" xfId="47" applyNumberFormat="1" applyFont="1" applyFill="1" applyBorder="1" applyAlignment="1">
      <alignment/>
      <protection/>
    </xf>
    <xf numFmtId="0" fontId="1" fillId="0" borderId="21" xfId="47" applyNumberFormat="1" applyFont="1" applyFill="1" applyBorder="1" applyAlignment="1">
      <alignment wrapText="1"/>
      <protection/>
    </xf>
    <xf numFmtId="0" fontId="1" fillId="0" borderId="14" xfId="47" applyNumberFormat="1" applyFont="1" applyFill="1" applyBorder="1" applyAlignment="1">
      <alignment/>
      <protection/>
    </xf>
    <xf numFmtId="171" fontId="1" fillId="0" borderId="22" xfId="63" applyFont="1" applyFill="1" applyBorder="1" applyAlignment="1">
      <alignment/>
    </xf>
    <xf numFmtId="180" fontId="3" fillId="33" borderId="16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49" fontId="4" fillId="33" borderId="0" xfId="47" applyNumberFormat="1" applyFont="1" applyFill="1" applyAlignment="1">
      <alignment horizontal="center"/>
      <protection/>
    </xf>
    <xf numFmtId="0" fontId="4" fillId="33" borderId="0" xfId="47" applyNumberFormat="1" applyFont="1" applyFill="1" applyAlignment="1">
      <alignment horizontal="center"/>
      <protection/>
    </xf>
    <xf numFmtId="169" fontId="3" fillId="33" borderId="14" xfId="64" applyNumberFormat="1" applyFont="1" applyFill="1" applyBorder="1" applyAlignment="1">
      <alignment horizontal="right"/>
    </xf>
    <xf numFmtId="171" fontId="1" fillId="33" borderId="17" xfId="63" applyFont="1" applyFill="1" applyBorder="1" applyAlignment="1">
      <alignment horizontal="right"/>
    </xf>
    <xf numFmtId="171" fontId="1" fillId="33" borderId="20" xfId="63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49" fontId="3" fillId="0" borderId="11" xfId="47" applyNumberFormat="1" applyFont="1" applyFill="1" applyBorder="1" applyAlignment="1">
      <alignment horizontal="left"/>
      <protection/>
    </xf>
    <xf numFmtId="180" fontId="3" fillId="33" borderId="16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71" fontId="2" fillId="35" borderId="23" xfId="63" applyFont="1" applyFill="1" applyBorder="1" applyAlignment="1">
      <alignment horizontal="center"/>
    </xf>
    <xf numFmtId="171" fontId="2" fillId="35" borderId="22" xfId="63" applyFont="1" applyFill="1" applyBorder="1" applyAlignment="1">
      <alignment horizontal="center"/>
    </xf>
    <xf numFmtId="49" fontId="1" fillId="0" borderId="24" xfId="47" applyNumberFormat="1" applyFont="1" applyFill="1" applyBorder="1" applyAlignment="1">
      <alignment horizontal="left"/>
      <protection/>
    </xf>
    <xf numFmtId="0" fontId="3" fillId="0" borderId="22" xfId="47" applyFont="1" applyFill="1" applyBorder="1" applyAlignment="1">
      <alignment horizontal="left"/>
      <protection/>
    </xf>
    <xf numFmtId="0" fontId="1" fillId="34" borderId="10" xfId="47" applyNumberFormat="1" applyFont="1" applyFill="1" applyBorder="1" applyAlignment="1">
      <alignment horizontal="center" vertical="center" wrapText="1"/>
      <protection/>
    </xf>
    <xf numFmtId="0" fontId="1" fillId="34" borderId="12" xfId="47" applyNumberFormat="1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center" vertical="center"/>
      <protection/>
    </xf>
    <xf numFmtId="169" fontId="1" fillId="33" borderId="17" xfId="64" applyNumberFormat="1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71" fontId="2" fillId="35" borderId="24" xfId="63" applyFont="1" applyFill="1" applyBorder="1" applyAlignment="1">
      <alignment horizontal="center"/>
    </xf>
    <xf numFmtId="0" fontId="5" fillId="33" borderId="0" xfId="47" applyNumberFormat="1" applyFont="1" applyFill="1" applyAlignment="1">
      <alignment horizontal="center"/>
      <protection/>
    </xf>
    <xf numFmtId="49" fontId="1" fillId="34" borderId="17" xfId="47" applyNumberFormat="1" applyFont="1" applyFill="1" applyBorder="1" applyAlignment="1">
      <alignment horizontal="center"/>
      <protection/>
    </xf>
    <xf numFmtId="49" fontId="1" fillId="34" borderId="20" xfId="47" applyNumberFormat="1" applyFont="1" applyFill="1" applyBorder="1" applyAlignment="1">
      <alignment horizontal="center"/>
      <protection/>
    </xf>
    <xf numFmtId="0" fontId="1" fillId="34" borderId="23" xfId="47" applyNumberFormat="1" applyFont="1" applyFill="1" applyBorder="1" applyAlignment="1">
      <alignment horizontal="center"/>
      <protection/>
    </xf>
    <xf numFmtId="0" fontId="1" fillId="34" borderId="22" xfId="47" applyNumberFormat="1" applyFont="1" applyFill="1" applyBorder="1" applyAlignment="1">
      <alignment horizontal="center"/>
      <protection/>
    </xf>
    <xf numFmtId="0" fontId="1" fillId="34" borderId="10" xfId="47" applyNumberFormat="1" applyFont="1" applyFill="1" applyBorder="1" applyAlignment="1">
      <alignment horizontal="center" wrapText="1"/>
      <protection/>
    </xf>
    <xf numFmtId="0" fontId="1" fillId="34" borderId="12" xfId="47" applyNumberFormat="1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5" xfId="47" applyNumberFormat="1" applyFont="1" applyFill="1" applyBorder="1" applyAlignment="1">
      <alignment horizontal="center" vertical="center" wrapText="1"/>
      <protection/>
    </xf>
    <xf numFmtId="0" fontId="1" fillId="34" borderId="23" xfId="47" applyFont="1" applyFill="1" applyBorder="1" applyAlignment="1">
      <alignment horizontal="center" vertical="center"/>
      <protection/>
    </xf>
    <xf numFmtId="0" fontId="1" fillId="34" borderId="24" xfId="47" applyFont="1" applyFill="1" applyBorder="1" applyAlignment="1">
      <alignment horizontal="center" vertical="center"/>
      <protection/>
    </xf>
    <xf numFmtId="0" fontId="1" fillId="34" borderId="22" xfId="47" applyFont="1" applyFill="1" applyBorder="1" applyAlignment="1">
      <alignment horizontal="center" vertical="center"/>
      <protection/>
    </xf>
    <xf numFmtId="49" fontId="1" fillId="34" borderId="16" xfId="47" applyNumberFormat="1" applyFont="1" applyFill="1" applyBorder="1" applyAlignment="1">
      <alignment horizontal="center"/>
      <protection/>
    </xf>
    <xf numFmtId="49" fontId="1" fillId="34" borderId="0" xfId="47" applyNumberFormat="1" applyFont="1" applyFill="1" applyBorder="1" applyAlignment="1">
      <alignment horizontal="center"/>
      <protection/>
    </xf>
    <xf numFmtId="49" fontId="1" fillId="34" borderId="18" xfId="47" applyNumberFormat="1" applyFont="1" applyFill="1" applyBorder="1" applyAlignment="1">
      <alignment horizontal="center"/>
      <protection/>
    </xf>
    <xf numFmtId="49" fontId="1" fillId="34" borderId="19" xfId="47" applyNumberFormat="1" applyFont="1" applyFill="1" applyBorder="1" applyAlignment="1">
      <alignment horizontal="center"/>
      <protection/>
    </xf>
    <xf numFmtId="49" fontId="1" fillId="34" borderId="14" xfId="47" applyNumberFormat="1" applyFont="1" applyFill="1" applyBorder="1" applyAlignment="1">
      <alignment horizontal="center"/>
      <protection/>
    </xf>
    <xf numFmtId="169" fontId="3" fillId="33" borderId="16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0" fontId="47" fillId="0" borderId="0" xfId="47" applyFont="1" applyFill="1" applyBorder="1" applyAlignment="1">
      <alignment horizontal="center" vertical="center"/>
      <protection/>
    </xf>
    <xf numFmtId="0" fontId="1" fillId="0" borderId="20" xfId="47" applyNumberFormat="1" applyFont="1" applyFill="1" applyBorder="1" applyAlignment="1">
      <alignment horizontal="left"/>
      <protection/>
    </xf>
    <xf numFmtId="0" fontId="3" fillId="0" borderId="21" xfId="47" applyFont="1" applyFill="1" applyBorder="1" applyAlignment="1">
      <alignment horizontal="left"/>
      <protection/>
    </xf>
    <xf numFmtId="0" fontId="4" fillId="0" borderId="0" xfId="47" applyNumberFormat="1" applyFont="1" applyFill="1" applyAlignment="1">
      <alignment horizontal="center"/>
      <protection/>
    </xf>
    <xf numFmtId="49" fontId="4" fillId="0" borderId="0" xfId="47" applyNumberFormat="1" applyFont="1" applyFill="1" applyAlignment="1">
      <alignment horizontal="center"/>
      <protection/>
    </xf>
    <xf numFmtId="0" fontId="5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left" wrapText="1"/>
      <protection/>
    </xf>
    <xf numFmtId="0" fontId="1" fillId="0" borderId="11" xfId="47" applyFont="1" applyFill="1" applyBorder="1" applyAlignment="1">
      <alignment horizontal="left" wrapText="1"/>
      <protection/>
    </xf>
    <xf numFmtId="180" fontId="1" fillId="33" borderId="17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0" fontId="1" fillId="34" borderId="20" xfId="47" applyFont="1" applyFill="1" applyBorder="1" applyAlignment="1">
      <alignment horizontal="center" vertical="center"/>
      <protection/>
    </xf>
    <xf numFmtId="0" fontId="1" fillId="34" borderId="21" xfId="47" applyFont="1" applyFill="1" applyBorder="1" applyAlignment="1">
      <alignment horizontal="center" vertical="center"/>
      <protection/>
    </xf>
    <xf numFmtId="0" fontId="1" fillId="34" borderId="0" xfId="47" applyFont="1" applyFill="1" applyBorder="1" applyAlignment="1">
      <alignment horizontal="center" vertical="center"/>
      <protection/>
    </xf>
    <xf numFmtId="0" fontId="1" fillId="34" borderId="11" xfId="47" applyFont="1" applyFill="1" applyBorder="1" applyAlignment="1">
      <alignment horizontal="center" vertical="center"/>
      <protection/>
    </xf>
    <xf numFmtId="0" fontId="1" fillId="34" borderId="14" xfId="47" applyFont="1" applyFill="1" applyBorder="1" applyAlignment="1">
      <alignment horizontal="center" vertical="center"/>
      <protection/>
    </xf>
    <xf numFmtId="0" fontId="1" fillId="34" borderId="19" xfId="47" applyFont="1" applyFill="1" applyBorder="1" applyAlignment="1">
      <alignment horizontal="center" vertical="center"/>
      <protection/>
    </xf>
    <xf numFmtId="49" fontId="1" fillId="0" borderId="11" xfId="47" applyNumberFormat="1" applyFont="1" applyFill="1" applyBorder="1" applyAlignment="1">
      <alignment horizontal="left"/>
      <protection/>
    </xf>
    <xf numFmtId="49" fontId="1" fillId="34" borderId="21" xfId="47" applyNumberFormat="1" applyFont="1" applyFill="1" applyBorder="1" applyAlignment="1">
      <alignment horizontal="center"/>
      <protection/>
    </xf>
    <xf numFmtId="180" fontId="1" fillId="33" borderId="16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9" fontId="3" fillId="0" borderId="0" xfId="47" applyNumberFormat="1" applyFont="1" applyFill="1" applyBorder="1" applyAlignment="1">
      <alignment horizontal="left"/>
      <protection/>
    </xf>
    <xf numFmtId="0" fontId="1" fillId="0" borderId="11" xfId="47" applyFont="1" applyFill="1" applyBorder="1" applyAlignment="1">
      <alignment horizontal="left"/>
      <protection/>
    </xf>
    <xf numFmtId="180" fontId="1" fillId="33" borderId="18" xfId="64" applyNumberFormat="1" applyFont="1" applyFill="1" applyBorder="1" applyAlignment="1">
      <alignment horizontal="right"/>
    </xf>
    <xf numFmtId="180" fontId="1" fillId="33" borderId="14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24" xfId="64" applyNumberFormat="1" applyFont="1" applyFill="1" applyBorder="1" applyAlignment="1">
      <alignment horizontal="right"/>
    </xf>
    <xf numFmtId="0" fontId="3" fillId="0" borderId="14" xfId="47" applyFont="1" applyFill="1" applyBorder="1" applyAlignment="1">
      <alignment horizontal="left"/>
      <protection/>
    </xf>
    <xf numFmtId="0" fontId="3" fillId="0" borderId="19" xfId="47" applyFont="1" applyFill="1" applyBorder="1" applyAlignment="1">
      <alignment horizontal="left"/>
      <protection/>
    </xf>
    <xf numFmtId="169" fontId="3" fillId="33" borderId="18" xfId="64" applyNumberFormat="1" applyFont="1" applyFill="1" applyBorder="1" applyAlignment="1">
      <alignment horizontal="right"/>
    </xf>
    <xf numFmtId="49" fontId="1" fillId="0" borderId="22" xfId="47" applyNumberFormat="1" applyFont="1" applyFill="1" applyBorder="1" applyAlignment="1">
      <alignment horizontal="left"/>
      <protection/>
    </xf>
    <xf numFmtId="171" fontId="1" fillId="33" borderId="18" xfId="63" applyFont="1" applyFill="1" applyBorder="1" applyAlignment="1">
      <alignment horizontal="right"/>
    </xf>
    <xf numFmtId="171" fontId="1" fillId="33" borderId="14" xfId="63" applyFont="1" applyFill="1" applyBorder="1" applyAlignment="1">
      <alignment horizontal="right"/>
    </xf>
    <xf numFmtId="49" fontId="1" fillId="0" borderId="20" xfId="47" applyNumberFormat="1" applyFont="1" applyFill="1" applyBorder="1" applyAlignment="1">
      <alignment horizontal="left"/>
      <protection/>
    </xf>
    <xf numFmtId="49" fontId="1" fillId="0" borderId="21" xfId="47" applyNumberFormat="1" applyFont="1" applyFill="1" applyBorder="1" applyAlignment="1">
      <alignment horizontal="left"/>
      <protection/>
    </xf>
    <xf numFmtId="49" fontId="1" fillId="0" borderId="24" xfId="47" applyNumberFormat="1" applyFont="1" applyFill="1" applyBorder="1" applyAlignment="1">
      <alignment horizontal="left" vertical="center" wrapText="1"/>
      <protection/>
    </xf>
    <xf numFmtId="0" fontId="3" fillId="0" borderId="24" xfId="47" applyFont="1" applyFill="1" applyBorder="1" applyAlignment="1">
      <alignment horizontal="left"/>
      <protection/>
    </xf>
    <xf numFmtId="0" fontId="1" fillId="34" borderId="21" xfId="47" applyNumberFormat="1" applyFont="1" applyFill="1" applyBorder="1" applyAlignment="1">
      <alignment horizontal="center" vertical="center"/>
      <protection/>
    </xf>
    <xf numFmtId="0" fontId="1" fillId="34" borderId="11" xfId="47" applyNumberFormat="1" applyFont="1" applyFill="1" applyBorder="1" applyAlignment="1">
      <alignment horizontal="center" vertical="center"/>
      <protection/>
    </xf>
    <xf numFmtId="0" fontId="1" fillId="34" borderId="19" xfId="47" applyNumberFormat="1" applyFont="1" applyFill="1" applyBorder="1" applyAlignment="1">
      <alignment horizontal="center" vertical="center"/>
      <protection/>
    </xf>
    <xf numFmtId="0" fontId="1" fillId="34" borderId="24" xfId="47" applyNumberFormat="1" applyFont="1" applyFill="1" applyBorder="1" applyAlignment="1">
      <alignment horizontal="center"/>
      <protection/>
    </xf>
    <xf numFmtId="0" fontId="1" fillId="34" borderId="17" xfId="47" applyNumberFormat="1" applyFont="1" applyFill="1" applyBorder="1" applyAlignment="1">
      <alignment horizontal="center" wrapText="1"/>
      <protection/>
    </xf>
    <xf numFmtId="0" fontId="1" fillId="34" borderId="20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0" xfId="47" applyNumberFormat="1" applyFont="1" applyFill="1" applyBorder="1" applyAlignment="1">
      <alignment horizontal="center" wrapText="1"/>
      <protection/>
    </xf>
    <xf numFmtId="0" fontId="1" fillId="34" borderId="18" xfId="47" applyNumberFormat="1" applyFont="1" applyFill="1" applyBorder="1" applyAlignment="1">
      <alignment horizontal="center" wrapText="1"/>
      <protection/>
    </xf>
    <xf numFmtId="0" fontId="1" fillId="34" borderId="14" xfId="47" applyNumberFormat="1" applyFont="1" applyFill="1" applyBorder="1" applyAlignment="1">
      <alignment horizontal="center" wrapText="1"/>
      <protection/>
    </xf>
    <xf numFmtId="0" fontId="1" fillId="34" borderId="10" xfId="47" applyNumberFormat="1" applyFont="1" applyFill="1" applyBorder="1" applyAlignment="1">
      <alignment horizontal="center" vertical="center"/>
      <protection/>
    </xf>
    <xf numFmtId="0" fontId="1" fillId="34" borderId="12" xfId="47" applyNumberFormat="1" applyFont="1" applyFill="1" applyBorder="1" applyAlignment="1">
      <alignment horizontal="center" vertical="center"/>
      <protection/>
    </xf>
    <xf numFmtId="180" fontId="1" fillId="33" borderId="16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171" fontId="2" fillId="35" borderId="16" xfId="63" applyFont="1" applyFill="1" applyBorder="1" applyAlignment="1">
      <alignment horizontal="center"/>
    </xf>
    <xf numFmtId="171" fontId="2" fillId="35" borderId="0" xfId="63" applyFont="1" applyFill="1" applyBorder="1" applyAlignment="1">
      <alignment horizontal="center"/>
    </xf>
    <xf numFmtId="180" fontId="1" fillId="33" borderId="18" xfId="64" applyNumberFormat="1" applyFont="1" applyFill="1" applyBorder="1" applyAlignment="1">
      <alignment horizontal="center"/>
    </xf>
    <xf numFmtId="180" fontId="1" fillId="33" borderId="14" xfId="64" applyNumberFormat="1" applyFont="1" applyFill="1" applyBorder="1" applyAlignment="1">
      <alignment horizontal="center"/>
    </xf>
    <xf numFmtId="171" fontId="1" fillId="33" borderId="18" xfId="63" applyFont="1" applyFill="1" applyBorder="1" applyAlignment="1">
      <alignment horizontal="center"/>
    </xf>
    <xf numFmtId="171" fontId="1" fillId="33" borderId="14" xfId="63" applyFont="1" applyFill="1" applyBorder="1" applyAlignment="1">
      <alignment horizontal="center"/>
    </xf>
    <xf numFmtId="49" fontId="3" fillId="0" borderId="11" xfId="47" applyNumberFormat="1" applyFont="1" applyFill="1" applyBorder="1" applyAlignment="1">
      <alignment horizontal="left" indent="4"/>
      <protection/>
    </xf>
    <xf numFmtId="169" fontId="3" fillId="33" borderId="18" xfId="64" applyNumberFormat="1" applyFont="1" applyFill="1" applyBorder="1" applyAlignment="1">
      <alignment horizontal="center"/>
    </xf>
    <xf numFmtId="169" fontId="3" fillId="33" borderId="14" xfId="64" applyNumberFormat="1" applyFont="1" applyFill="1" applyBorder="1" applyAlignment="1">
      <alignment horizontal="center"/>
    </xf>
    <xf numFmtId="37" fontId="6" fillId="33" borderId="24" xfId="47" applyNumberFormat="1" applyFont="1" applyFill="1" applyBorder="1" applyAlignment="1">
      <alignment horizontal="center" vertical="center"/>
      <protection/>
    </xf>
    <xf numFmtId="0" fontId="6" fillId="36" borderId="0" xfId="47" applyFont="1" applyFill="1" applyAlignment="1">
      <alignment horizontal="left" vertical="center" wrapText="1"/>
      <protection/>
    </xf>
    <xf numFmtId="49" fontId="3" fillId="0" borderId="19" xfId="47" applyNumberFormat="1" applyFont="1" applyFill="1" applyBorder="1" applyAlignment="1">
      <alignment horizontal="left"/>
      <protection/>
    </xf>
    <xf numFmtId="169" fontId="1" fillId="33" borderId="16" xfId="64" applyNumberFormat="1" applyFont="1" applyFill="1" applyBorder="1" applyAlignment="1">
      <alignment horizontal="center"/>
    </xf>
    <xf numFmtId="169" fontId="1" fillId="33" borderId="0" xfId="64" applyNumberFormat="1" applyFont="1" applyFill="1" applyBorder="1" applyAlignment="1">
      <alignment horizontal="center"/>
    </xf>
    <xf numFmtId="0" fontId="6" fillId="0" borderId="0" xfId="47" applyFont="1" applyAlignment="1">
      <alignment horizontal="left" vertical="center" wrapText="1"/>
      <protection/>
    </xf>
    <xf numFmtId="169" fontId="45" fillId="0" borderId="0" xfId="47" applyNumberFormat="1" applyFont="1" applyFill="1" applyAlignment="1">
      <alignment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1400175</xdr:colOff>
      <xdr:row>1</xdr:row>
      <xdr:rowOff>0</xdr:rowOff>
    </xdr:from>
    <xdr:to>
      <xdr:col>4</xdr:col>
      <xdr:colOff>504825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428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1371600</xdr:colOff>
      <xdr:row>128</xdr:row>
      <xdr:rowOff>28575</xdr:rowOff>
    </xdr:from>
    <xdr:to>
      <xdr:col>4</xdr:col>
      <xdr:colOff>419100</xdr:colOff>
      <xdr:row>131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58127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8"/>
  <sheetViews>
    <sheetView showGridLines="0" tabSelected="1" zoomScale="80" zoomScaleNormal="80" zoomScaleSheetLayoutView="70" workbookViewId="0" topLeftCell="A37">
      <selection activeCell="A77" sqref="A77:B77"/>
    </sheetView>
  </sheetViews>
  <sheetFormatPr defaultColWidth="9.140625" defaultRowHeight="11.25" customHeight="1"/>
  <cols>
    <col min="1" max="1" width="80.00390625" style="2" customWidth="1"/>
    <col min="2" max="2" width="21.421875" style="2" bestFit="1" customWidth="1"/>
    <col min="3" max="3" width="22.28125" style="2" bestFit="1" customWidth="1"/>
    <col min="4" max="5" width="22.140625" style="2" bestFit="1" customWidth="1"/>
    <col min="6" max="7" width="21.7109375" style="2" bestFit="1" customWidth="1"/>
    <col min="8" max="8" width="22.421875" style="2" customWidth="1"/>
    <col min="9" max="9" width="21.7109375" style="2" bestFit="1" customWidth="1"/>
    <col min="10" max="10" width="22.7109375" style="2" customWidth="1"/>
    <col min="11" max="11" width="4.140625" style="2" customWidth="1"/>
    <col min="12" max="12" width="15.57421875" style="2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64" t="s">
        <v>27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2" s="4" customFormat="1" ht="15.75" customHeight="1">
      <c r="A7" s="265" t="s">
        <v>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s="4" customFormat="1" ht="15.75" customHeight="1">
      <c r="A8" s="266" t="s">
        <v>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</row>
    <row r="9" spans="1:12" s="4" customFormat="1" ht="15.75" customHeight="1">
      <c r="A9" s="267" t="s">
        <v>2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1:12" s="4" customFormat="1" ht="16.5">
      <c r="A10" s="265" t="s">
        <v>150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58"/>
      <c r="K12" s="58"/>
      <c r="L12" s="88" t="s">
        <v>157</v>
      </c>
    </row>
    <row r="13" spans="1:12" s="3" customFormat="1" ht="15.75">
      <c r="A13" s="8" t="s">
        <v>66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72" t="s">
        <v>4</v>
      </c>
      <c r="B14" s="273"/>
      <c r="C14" s="248" t="s">
        <v>67</v>
      </c>
      <c r="D14" s="74" t="s">
        <v>81</v>
      </c>
      <c r="E14" s="251" t="s">
        <v>3</v>
      </c>
      <c r="F14" s="252"/>
      <c r="G14" s="252"/>
      <c r="H14" s="252"/>
      <c r="I14" s="253"/>
      <c r="J14" s="240" t="s">
        <v>68</v>
      </c>
      <c r="K14" s="241"/>
      <c r="L14" s="241"/>
    </row>
    <row r="15" spans="1:12" s="3" customFormat="1" ht="15.75" customHeight="1">
      <c r="A15" s="274"/>
      <c r="B15" s="275"/>
      <c r="C15" s="249"/>
      <c r="D15" s="75" t="s">
        <v>6</v>
      </c>
      <c r="E15" s="74" t="s">
        <v>7</v>
      </c>
      <c r="F15" s="76" t="s">
        <v>8</v>
      </c>
      <c r="G15" s="240" t="s">
        <v>9</v>
      </c>
      <c r="H15" s="279"/>
      <c r="I15" s="76" t="s">
        <v>8</v>
      </c>
      <c r="J15" s="254"/>
      <c r="K15" s="255"/>
      <c r="L15" s="255"/>
    </row>
    <row r="16" spans="1:12" s="3" customFormat="1" ht="16.5" customHeight="1">
      <c r="A16" s="276"/>
      <c r="B16" s="277"/>
      <c r="C16" s="250"/>
      <c r="D16" s="77" t="s">
        <v>10</v>
      </c>
      <c r="E16" s="77" t="s">
        <v>11</v>
      </c>
      <c r="F16" s="77" t="s">
        <v>12</v>
      </c>
      <c r="G16" s="256" t="s">
        <v>69</v>
      </c>
      <c r="H16" s="257"/>
      <c r="I16" s="77" t="s">
        <v>13</v>
      </c>
      <c r="J16" s="256" t="s">
        <v>14</v>
      </c>
      <c r="K16" s="258"/>
      <c r="L16" s="258"/>
    </row>
    <row r="17" spans="1:13" s="3" customFormat="1" ht="15.75" customHeight="1">
      <c r="A17" s="268" t="s">
        <v>70</v>
      </c>
      <c r="B17" s="269"/>
      <c r="C17" s="121">
        <f>C18+C58</f>
        <v>87436734039</v>
      </c>
      <c r="D17" s="122">
        <f>D18+D58</f>
        <v>92073039532.26003</v>
      </c>
      <c r="E17" s="123">
        <f>E18+E58</f>
        <v>17203328637.809998</v>
      </c>
      <c r="F17" s="14">
        <f>(E17/D17)*100</f>
        <v>18.684436535607574</v>
      </c>
      <c r="G17" s="103"/>
      <c r="H17" s="152">
        <f>H18+H58</f>
        <v>94355331814.17</v>
      </c>
      <c r="I17" s="14">
        <f>(H17/D17)*100</f>
        <v>102.47878455355035</v>
      </c>
      <c r="J17" s="270">
        <f aca="true" t="shared" si="0" ref="J17:J48">D17-H17</f>
        <v>-2282292281.909973</v>
      </c>
      <c r="K17" s="271"/>
      <c r="L17" s="271"/>
      <c r="M17" s="15"/>
    </row>
    <row r="18" spans="1:13" s="3" customFormat="1" ht="15.75" customHeight="1">
      <c r="A18" s="278" t="s">
        <v>31</v>
      </c>
      <c r="B18" s="278"/>
      <c r="C18" s="124">
        <f>C19+C23+C28+C36+C37+C38+C44+C52</f>
        <v>86709808863</v>
      </c>
      <c r="D18" s="125">
        <f>D19+D23+D28+D36+D37+D38+D44+D52</f>
        <v>91630050795.88002</v>
      </c>
      <c r="E18" s="123">
        <f>E19+E23+E28+E36+E37+E38+E44+E52</f>
        <v>17153700033.05</v>
      </c>
      <c r="F18" s="17">
        <f>(E18/D18)*100</f>
        <v>18.720605177075033</v>
      </c>
      <c r="G18" s="104"/>
      <c r="H18" s="153">
        <f>H19+H23+H28+H36+H37+H38+H44+H52</f>
        <v>94188900797.09999</v>
      </c>
      <c r="I18" s="17">
        <f aca="true" t="shared" si="1" ref="I18:I74">(H18/D18)*100</f>
        <v>102.79258821641406</v>
      </c>
      <c r="J18" s="280">
        <f t="shared" si="0"/>
        <v>-2558850001.2199707</v>
      </c>
      <c r="K18" s="281"/>
      <c r="L18" s="281"/>
      <c r="M18" s="18"/>
    </row>
    <row r="19" spans="1:13" s="3" customFormat="1" ht="15.75" customHeight="1">
      <c r="A19" s="226" t="s">
        <v>128</v>
      </c>
      <c r="B19" s="226"/>
      <c r="C19" s="120">
        <f>C20+C21+C22</f>
        <v>46773761849</v>
      </c>
      <c r="D19" s="126">
        <f>D20+D21+D22</f>
        <v>43748314768.72</v>
      </c>
      <c r="E19" s="127">
        <f>E20+E21+E22</f>
        <v>7172466618.339997</v>
      </c>
      <c r="F19" s="22">
        <f>(E19/D19)*100</f>
        <v>16.394840935606286</v>
      </c>
      <c r="G19" s="101"/>
      <c r="H19" s="141">
        <f>H20+H21+H22</f>
        <v>44243831890.009995</v>
      </c>
      <c r="I19" s="22">
        <f t="shared" si="1"/>
        <v>101.13265419230339</v>
      </c>
      <c r="J19" s="227">
        <f t="shared" si="0"/>
        <v>-495517121.2899933</v>
      </c>
      <c r="K19" s="228"/>
      <c r="L19" s="228"/>
      <c r="M19" s="18"/>
    </row>
    <row r="20" spans="1:12" s="3" customFormat="1" ht="15.75" customHeight="1">
      <c r="A20" s="226" t="s">
        <v>32</v>
      </c>
      <c r="B20" s="226"/>
      <c r="C20" s="120">
        <v>43591439245</v>
      </c>
      <c r="D20" s="126">
        <v>40739802737.12</v>
      </c>
      <c r="E20" s="127">
        <f>H20-34060752588.87</f>
        <v>6664208085.969997</v>
      </c>
      <c r="F20" s="22">
        <f>(E20/D20)*100</f>
        <v>16.357978287160226</v>
      </c>
      <c r="G20" s="101"/>
      <c r="H20" s="141">
        <v>40724960674.84</v>
      </c>
      <c r="I20" s="22">
        <f t="shared" si="1"/>
        <v>99.96356864470901</v>
      </c>
      <c r="J20" s="227">
        <f t="shared" si="0"/>
        <v>14842062.280006409</v>
      </c>
      <c r="K20" s="228"/>
      <c r="L20" s="228"/>
    </row>
    <row r="21" spans="1:12" s="3" customFormat="1" ht="15.75" customHeight="1">
      <c r="A21" s="226" t="s">
        <v>33</v>
      </c>
      <c r="B21" s="226"/>
      <c r="C21" s="120">
        <v>3182322604</v>
      </c>
      <c r="D21" s="126">
        <v>3008512031.6</v>
      </c>
      <c r="E21" s="127">
        <f>H21-3010612682.8</f>
        <v>508258532.3699999</v>
      </c>
      <c r="F21" s="22">
        <f>(E21/D21)*100</f>
        <v>16.894016943641592</v>
      </c>
      <c r="G21" s="101"/>
      <c r="H21" s="141">
        <v>3518871215.17</v>
      </c>
      <c r="I21" s="22">
        <f t="shared" si="1"/>
        <v>116.96384053676456</v>
      </c>
      <c r="J21" s="227">
        <f t="shared" si="0"/>
        <v>-510359183.5700002</v>
      </c>
      <c r="K21" s="228"/>
      <c r="L21" s="228"/>
    </row>
    <row r="22" spans="1:12" s="3" customFormat="1" ht="15.75" customHeight="1">
      <c r="A22" s="226" t="s">
        <v>134</v>
      </c>
      <c r="B22" s="226"/>
      <c r="C22" s="120">
        <v>0</v>
      </c>
      <c r="D22" s="126">
        <v>0</v>
      </c>
      <c r="E22" s="127">
        <f>H22-0</f>
        <v>0</v>
      </c>
      <c r="F22" s="22">
        <v>0</v>
      </c>
      <c r="G22" s="101"/>
      <c r="H22" s="102">
        <v>0</v>
      </c>
      <c r="I22" s="22">
        <v>0</v>
      </c>
      <c r="J22" s="224">
        <f t="shared" si="0"/>
        <v>0</v>
      </c>
      <c r="K22" s="225"/>
      <c r="L22" s="225"/>
    </row>
    <row r="23" spans="1:13" s="3" customFormat="1" ht="17.25" customHeight="1">
      <c r="A23" s="226" t="s">
        <v>34</v>
      </c>
      <c r="B23" s="226"/>
      <c r="C23" s="120">
        <f>C25+C24+C26+C27</f>
        <v>3198802657</v>
      </c>
      <c r="D23" s="126">
        <f>D25+D24+D26+D27</f>
        <v>3198802657</v>
      </c>
      <c r="E23" s="127">
        <f>E25+E24+E26+E27</f>
        <v>904869726.1300001</v>
      </c>
      <c r="F23" s="22">
        <f>(E23/D23)*100</f>
        <v>28.28776336514091</v>
      </c>
      <c r="G23" s="101"/>
      <c r="H23" s="141">
        <f>SUM(H24:H27)</f>
        <v>3903672764.44</v>
      </c>
      <c r="I23" s="22">
        <f t="shared" si="1"/>
        <v>122.03543584964578</v>
      </c>
      <c r="J23" s="227">
        <f t="shared" si="0"/>
        <v>-704870107.44</v>
      </c>
      <c r="K23" s="228"/>
      <c r="L23" s="228"/>
      <c r="M23" s="18"/>
    </row>
    <row r="24" spans="1:12" s="3" customFormat="1" ht="15.75" customHeight="1">
      <c r="A24" s="226" t="s">
        <v>35</v>
      </c>
      <c r="B24" s="226"/>
      <c r="C24" s="120">
        <v>3198802657</v>
      </c>
      <c r="D24" s="126">
        <v>3198802657</v>
      </c>
      <c r="E24" s="127">
        <f>H24-2998803038.31</f>
        <v>904869726.1300001</v>
      </c>
      <c r="F24" s="22">
        <f>(E24/D24)*100</f>
        <v>28.28776336514091</v>
      </c>
      <c r="G24" s="101"/>
      <c r="H24" s="141">
        <v>3903672764.44</v>
      </c>
      <c r="I24" s="22">
        <f t="shared" si="1"/>
        <v>122.03543584964578</v>
      </c>
      <c r="J24" s="227">
        <f t="shared" si="0"/>
        <v>-704870107.44</v>
      </c>
      <c r="K24" s="228"/>
      <c r="L24" s="228"/>
    </row>
    <row r="25" spans="1:12" s="3" customFormat="1" ht="15.75" customHeight="1">
      <c r="A25" s="226" t="s">
        <v>90</v>
      </c>
      <c r="B25" s="226"/>
      <c r="C25" s="120">
        <v>0</v>
      </c>
      <c r="D25" s="126">
        <v>0</v>
      </c>
      <c r="E25" s="127">
        <f>H25-0</f>
        <v>0</v>
      </c>
      <c r="F25" s="22">
        <v>0</v>
      </c>
      <c r="G25" s="101"/>
      <c r="H25" s="102">
        <v>0</v>
      </c>
      <c r="I25" s="22">
        <v>0</v>
      </c>
      <c r="J25" s="224">
        <f t="shared" si="0"/>
        <v>0</v>
      </c>
      <c r="K25" s="225"/>
      <c r="L25" s="225"/>
    </row>
    <row r="26" spans="1:12" s="3" customFormat="1" ht="15.75" customHeight="1">
      <c r="A26" s="226" t="s">
        <v>108</v>
      </c>
      <c r="B26" s="226"/>
      <c r="C26" s="120">
        <v>0</v>
      </c>
      <c r="D26" s="126">
        <v>0</v>
      </c>
      <c r="E26" s="127">
        <f>H26-0</f>
        <v>0</v>
      </c>
      <c r="F26" s="22">
        <v>0</v>
      </c>
      <c r="G26" s="101"/>
      <c r="H26" s="102">
        <v>0</v>
      </c>
      <c r="I26" s="22">
        <v>0</v>
      </c>
      <c r="J26" s="259">
        <f t="shared" si="0"/>
        <v>0</v>
      </c>
      <c r="K26" s="260"/>
      <c r="L26" s="260"/>
    </row>
    <row r="27" spans="1:12" s="3" customFormat="1" ht="15.75" customHeight="1">
      <c r="A27" s="226" t="s">
        <v>109</v>
      </c>
      <c r="B27" s="226"/>
      <c r="C27" s="120">
        <v>0</v>
      </c>
      <c r="D27" s="126">
        <v>0</v>
      </c>
      <c r="E27" s="127">
        <f>H27-0</f>
        <v>0</v>
      </c>
      <c r="F27" s="22">
        <v>0</v>
      </c>
      <c r="G27" s="101"/>
      <c r="H27" s="102">
        <v>0</v>
      </c>
      <c r="I27" s="22">
        <v>0</v>
      </c>
      <c r="J27" s="259">
        <f t="shared" si="0"/>
        <v>0</v>
      </c>
      <c r="K27" s="260"/>
      <c r="L27" s="260"/>
    </row>
    <row r="28" spans="1:13" s="3" customFormat="1" ht="15.75" customHeight="1">
      <c r="A28" s="226" t="s">
        <v>36</v>
      </c>
      <c r="B28" s="226"/>
      <c r="C28" s="120">
        <f>SUM(C29:C35)</f>
        <v>25704265065</v>
      </c>
      <c r="D28" s="126">
        <f>SUM(D29:D35)</f>
        <v>33187245657.13</v>
      </c>
      <c r="E28" s="127">
        <f>SUM(E29:E35)</f>
        <v>7313815564.430002</v>
      </c>
      <c r="F28" s="22">
        <f aca="true" t="shared" si="2" ref="F28:F43">(E28/D28)*100</f>
        <v>22.038031236432815</v>
      </c>
      <c r="G28" s="101"/>
      <c r="H28" s="141">
        <f>SUM(H29:H35)</f>
        <v>34846435042.42</v>
      </c>
      <c r="I28" s="22">
        <f t="shared" si="1"/>
        <v>104.99947902405553</v>
      </c>
      <c r="J28" s="227">
        <f t="shared" si="0"/>
        <v>-1659189385.289997</v>
      </c>
      <c r="K28" s="228"/>
      <c r="L28" s="228"/>
      <c r="M28" s="23"/>
    </row>
    <row r="29" spans="1:12" s="3" customFormat="1" ht="15.75" customHeight="1">
      <c r="A29" s="226" t="s">
        <v>110</v>
      </c>
      <c r="B29" s="226"/>
      <c r="C29" s="120">
        <v>71970935</v>
      </c>
      <c r="D29" s="126">
        <v>74370681.2</v>
      </c>
      <c r="E29" s="127">
        <f>H29-55027946.09</f>
        <v>14311882.849999994</v>
      </c>
      <c r="F29" s="22">
        <f t="shared" si="2"/>
        <v>19.24398515526841</v>
      </c>
      <c r="G29" s="101"/>
      <c r="H29" s="141">
        <v>69339828.94</v>
      </c>
      <c r="I29" s="22">
        <f t="shared" si="1"/>
        <v>93.23543609010267</v>
      </c>
      <c r="J29" s="227">
        <f t="shared" si="0"/>
        <v>5030852.260000005</v>
      </c>
      <c r="K29" s="228"/>
      <c r="L29" s="228"/>
    </row>
    <row r="30" spans="1:12" s="3" customFormat="1" ht="15.75" customHeight="1">
      <c r="A30" s="226" t="s">
        <v>111</v>
      </c>
      <c r="B30" s="226"/>
      <c r="C30" s="120">
        <v>326996481</v>
      </c>
      <c r="D30" s="126">
        <v>2148767674.34</v>
      </c>
      <c r="E30" s="127">
        <f>H30-2932308194.63</f>
        <v>880870854.5</v>
      </c>
      <c r="F30" s="22">
        <f t="shared" si="2"/>
        <v>40.99423427758712</v>
      </c>
      <c r="G30" s="101"/>
      <c r="H30" s="141">
        <v>3813179049.13</v>
      </c>
      <c r="I30" s="22">
        <f t="shared" si="1"/>
        <v>177.45888002067178</v>
      </c>
      <c r="J30" s="227">
        <f t="shared" si="0"/>
        <v>-1664411374.79</v>
      </c>
      <c r="K30" s="228"/>
      <c r="L30" s="228"/>
    </row>
    <row r="31" spans="1:12" s="3" customFormat="1" ht="15.75" customHeight="1">
      <c r="A31" s="226" t="s">
        <v>114</v>
      </c>
      <c r="B31" s="226"/>
      <c r="C31" s="120">
        <v>25748212</v>
      </c>
      <c r="D31" s="126">
        <v>25742834</v>
      </c>
      <c r="E31" s="127">
        <f>H31-19711496.5</f>
        <v>3910117.09</v>
      </c>
      <c r="F31" s="22">
        <f t="shared" si="2"/>
        <v>15.18914774496079</v>
      </c>
      <c r="G31" s="101"/>
      <c r="H31" s="179">
        <v>23621613.59</v>
      </c>
      <c r="I31" s="22">
        <f t="shared" si="1"/>
        <v>91.75995770318062</v>
      </c>
      <c r="J31" s="227">
        <f t="shared" si="0"/>
        <v>2121220.41</v>
      </c>
      <c r="K31" s="228"/>
      <c r="L31" s="228"/>
    </row>
    <row r="32" spans="1:12" s="3" customFormat="1" ht="15.75" customHeight="1">
      <c r="A32" s="226" t="s">
        <v>112</v>
      </c>
      <c r="B32" s="226"/>
      <c r="C32" s="120">
        <v>2367526810</v>
      </c>
      <c r="D32" s="126">
        <v>1851619609.01</v>
      </c>
      <c r="E32" s="127">
        <f>H32-1797030523.86</f>
        <v>19347500.090000153</v>
      </c>
      <c r="F32" s="22">
        <f t="shared" si="2"/>
        <v>1.0448960464587338</v>
      </c>
      <c r="G32" s="101"/>
      <c r="H32" s="141">
        <v>1816378023.95</v>
      </c>
      <c r="I32" s="22">
        <f t="shared" si="1"/>
        <v>98.0967157137182</v>
      </c>
      <c r="J32" s="227">
        <f t="shared" si="0"/>
        <v>35241585.05999994</v>
      </c>
      <c r="K32" s="228"/>
      <c r="L32" s="228"/>
    </row>
    <row r="33" spans="1:12" s="3" customFormat="1" ht="15.75" customHeight="1">
      <c r="A33" s="226" t="s">
        <v>113</v>
      </c>
      <c r="B33" s="226"/>
      <c r="C33" s="120">
        <v>0</v>
      </c>
      <c r="D33" s="126">
        <v>0</v>
      </c>
      <c r="E33" s="127">
        <f>H33-0</f>
        <v>0</v>
      </c>
      <c r="F33" s="22">
        <v>0</v>
      </c>
      <c r="G33" s="101"/>
      <c r="H33" s="102">
        <v>0</v>
      </c>
      <c r="I33" s="22">
        <v>0</v>
      </c>
      <c r="J33" s="224">
        <f t="shared" si="0"/>
        <v>0</v>
      </c>
      <c r="K33" s="225"/>
      <c r="L33" s="225"/>
    </row>
    <row r="34" spans="1:12" s="3" customFormat="1" ht="15.75" customHeight="1">
      <c r="A34" s="226" t="s">
        <v>116</v>
      </c>
      <c r="B34" s="226"/>
      <c r="C34" s="120">
        <v>0</v>
      </c>
      <c r="D34" s="126">
        <v>0</v>
      </c>
      <c r="E34" s="127">
        <f>H34-0</f>
        <v>15421880</v>
      </c>
      <c r="F34" s="22">
        <v>0</v>
      </c>
      <c r="G34" s="101"/>
      <c r="H34" s="141">
        <v>15421880</v>
      </c>
      <c r="I34" s="22">
        <v>0</v>
      </c>
      <c r="J34" s="227">
        <f t="shared" si="0"/>
        <v>-15421880</v>
      </c>
      <c r="K34" s="228"/>
      <c r="L34" s="228"/>
    </row>
    <row r="35" spans="1:12" s="3" customFormat="1" ht="15.75" customHeight="1">
      <c r="A35" s="226" t="s">
        <v>115</v>
      </c>
      <c r="B35" s="226"/>
      <c r="C35" s="120">
        <v>22912022627</v>
      </c>
      <c r="D35" s="126">
        <v>29086744858.58</v>
      </c>
      <c r="E35" s="127">
        <f>H35-22728541316.91</f>
        <v>6379953329.900002</v>
      </c>
      <c r="F35" s="22">
        <f t="shared" si="2"/>
        <v>21.934229357459518</v>
      </c>
      <c r="G35" s="101"/>
      <c r="H35" s="141">
        <v>29108494646.81</v>
      </c>
      <c r="I35" s="22">
        <f t="shared" si="1"/>
        <v>100.07477560083038</v>
      </c>
      <c r="J35" s="227">
        <f t="shared" si="0"/>
        <v>-21749788.229999542</v>
      </c>
      <c r="K35" s="228"/>
      <c r="L35" s="228"/>
    </row>
    <row r="36" spans="1:13" s="3" customFormat="1" ht="15.75" customHeight="1">
      <c r="A36" s="226" t="s">
        <v>37</v>
      </c>
      <c r="B36" s="226"/>
      <c r="C36" s="120">
        <v>208451</v>
      </c>
      <c r="D36" s="126">
        <v>208451</v>
      </c>
      <c r="E36" s="127">
        <f>H36-5320</f>
        <v>0</v>
      </c>
      <c r="F36" s="22">
        <f t="shared" si="2"/>
        <v>0</v>
      </c>
      <c r="G36" s="101"/>
      <c r="H36" s="141">
        <v>5320</v>
      </c>
      <c r="I36" s="22">
        <f t="shared" si="1"/>
        <v>2.5521585408561243</v>
      </c>
      <c r="J36" s="227">
        <f t="shared" si="0"/>
        <v>203131</v>
      </c>
      <c r="K36" s="228"/>
      <c r="L36" s="228"/>
      <c r="M36" s="18"/>
    </row>
    <row r="37" spans="1:13" s="3" customFormat="1" ht="15.75" customHeight="1">
      <c r="A37" s="226" t="s">
        <v>38</v>
      </c>
      <c r="B37" s="226"/>
      <c r="C37" s="120">
        <v>32189985</v>
      </c>
      <c r="D37" s="126">
        <v>32189985</v>
      </c>
      <c r="E37" s="127">
        <f>H37-738133.37</f>
        <v>1101191.13</v>
      </c>
      <c r="F37" s="22">
        <f t="shared" si="2"/>
        <v>3.420912218505227</v>
      </c>
      <c r="G37" s="101"/>
      <c r="H37" s="141">
        <v>1839324.5</v>
      </c>
      <c r="I37" s="22">
        <f t="shared" si="1"/>
        <v>5.713965073298419</v>
      </c>
      <c r="J37" s="227">
        <f t="shared" si="0"/>
        <v>30350660.5</v>
      </c>
      <c r="K37" s="228"/>
      <c r="L37" s="228"/>
      <c r="M37" s="18"/>
    </row>
    <row r="38" spans="1:13" s="3" customFormat="1" ht="15.75" customHeight="1">
      <c r="A38" s="226" t="s">
        <v>39</v>
      </c>
      <c r="B38" s="226"/>
      <c r="C38" s="120">
        <f>SUM(C39:C43)</f>
        <v>332922351</v>
      </c>
      <c r="D38" s="126">
        <f>SUM(D39:D43)</f>
        <v>332208516.07</v>
      </c>
      <c r="E38" s="127">
        <f>SUM(E39:E43)</f>
        <v>54973741.39999999</v>
      </c>
      <c r="F38" s="22">
        <f t="shared" si="2"/>
        <v>16.547962722429553</v>
      </c>
      <c r="G38" s="101"/>
      <c r="H38" s="141">
        <f>SUM(H39:H43)</f>
        <v>306655323.17999995</v>
      </c>
      <c r="I38" s="22">
        <f t="shared" si="1"/>
        <v>92.3080861405083</v>
      </c>
      <c r="J38" s="227">
        <f t="shared" si="0"/>
        <v>25553192.890000045</v>
      </c>
      <c r="K38" s="228"/>
      <c r="L38" s="228"/>
      <c r="M38" s="18"/>
    </row>
    <row r="39" spans="1:12" s="3" customFormat="1" ht="15.75" customHeight="1">
      <c r="A39" s="226" t="s">
        <v>103</v>
      </c>
      <c r="B39" s="226"/>
      <c r="C39" s="120">
        <v>230179729</v>
      </c>
      <c r="D39" s="126">
        <v>230183086.1</v>
      </c>
      <c r="E39" s="127">
        <f>H39-215411319.41</f>
        <v>37194819.03999999</v>
      </c>
      <c r="F39" s="22">
        <f t="shared" si="2"/>
        <v>16.15879762070841</v>
      </c>
      <c r="G39" s="101"/>
      <c r="H39" s="141">
        <v>252606138.45</v>
      </c>
      <c r="I39" s="22">
        <f t="shared" si="1"/>
        <v>109.74139878386137</v>
      </c>
      <c r="J39" s="227">
        <f t="shared" si="0"/>
        <v>-22423052.349999994</v>
      </c>
      <c r="K39" s="228"/>
      <c r="L39" s="228"/>
    </row>
    <row r="40" spans="1:12" s="3" customFormat="1" ht="15.75" customHeight="1">
      <c r="A40" s="226" t="s">
        <v>104</v>
      </c>
      <c r="B40" s="226"/>
      <c r="C40" s="120">
        <v>6768066</v>
      </c>
      <c r="D40" s="126">
        <v>6768066</v>
      </c>
      <c r="E40" s="127">
        <f>H40-9076745.14</f>
        <v>3269246.83</v>
      </c>
      <c r="F40" s="22">
        <f t="shared" si="2"/>
        <v>48.30400338885584</v>
      </c>
      <c r="G40" s="101"/>
      <c r="H40" s="141">
        <v>12345991.97</v>
      </c>
      <c r="I40" s="22">
        <f t="shared" si="1"/>
        <v>182.41536016344995</v>
      </c>
      <c r="J40" s="217">
        <f t="shared" si="0"/>
        <v>-5577925.970000001</v>
      </c>
      <c r="K40" s="218"/>
      <c r="L40" s="218"/>
    </row>
    <row r="41" spans="1:12" s="3" customFormat="1" ht="15.75" customHeight="1">
      <c r="A41" s="226" t="s">
        <v>105</v>
      </c>
      <c r="B41" s="226"/>
      <c r="C41" s="120">
        <v>76151182</v>
      </c>
      <c r="D41" s="126">
        <v>76151182</v>
      </c>
      <c r="E41" s="127">
        <f>H41-525531.91</f>
        <v>82172.21999999997</v>
      </c>
      <c r="F41" s="22">
        <f t="shared" si="2"/>
        <v>0.10790669014172356</v>
      </c>
      <c r="G41" s="101"/>
      <c r="H41" s="141">
        <v>607704.13</v>
      </c>
      <c r="I41" s="22">
        <f t="shared" si="1"/>
        <v>0.7980232401382817</v>
      </c>
      <c r="J41" s="217">
        <f t="shared" si="0"/>
        <v>75543477.87</v>
      </c>
      <c r="K41" s="218"/>
      <c r="L41" s="218"/>
    </row>
    <row r="42" spans="1:12" s="3" customFormat="1" ht="15.75" customHeight="1">
      <c r="A42" s="226" t="s">
        <v>106</v>
      </c>
      <c r="B42" s="226"/>
      <c r="C42" s="120">
        <v>4529283</v>
      </c>
      <c r="D42" s="126">
        <v>3814211.88</v>
      </c>
      <c r="E42" s="127">
        <f>H42-4769771.13</f>
        <v>893703.2300000004</v>
      </c>
      <c r="F42" s="22">
        <f t="shared" si="2"/>
        <v>23.43087531886143</v>
      </c>
      <c r="G42" s="101"/>
      <c r="H42" s="141">
        <v>5663474.36</v>
      </c>
      <c r="I42" s="22">
        <f t="shared" si="1"/>
        <v>148.4834754381815</v>
      </c>
      <c r="J42" s="217">
        <f t="shared" si="0"/>
        <v>-1849262.4800000004</v>
      </c>
      <c r="K42" s="218"/>
      <c r="L42" s="218"/>
    </row>
    <row r="43" spans="1:12" s="3" customFormat="1" ht="15.75" customHeight="1">
      <c r="A43" s="226" t="s">
        <v>107</v>
      </c>
      <c r="B43" s="226"/>
      <c r="C43" s="120">
        <v>15294091</v>
      </c>
      <c r="D43" s="126">
        <v>15291970.09</v>
      </c>
      <c r="E43" s="127">
        <f>H43-21898214.19</f>
        <v>13533800.080000002</v>
      </c>
      <c r="F43" s="22">
        <f t="shared" si="2"/>
        <v>88.50265858713828</v>
      </c>
      <c r="G43" s="101"/>
      <c r="H43" s="141">
        <v>35432014.27</v>
      </c>
      <c r="I43" s="22">
        <f t="shared" si="1"/>
        <v>231.7033976751651</v>
      </c>
      <c r="J43" s="217">
        <f t="shared" si="0"/>
        <v>-20140044.180000003</v>
      </c>
      <c r="K43" s="218"/>
      <c r="L43" s="218"/>
    </row>
    <row r="44" spans="1:13" s="3" customFormat="1" ht="15.75" customHeight="1">
      <c r="A44" s="226" t="s">
        <v>40</v>
      </c>
      <c r="B44" s="226"/>
      <c r="C44" s="120">
        <f>SUM(C45:C51)</f>
        <v>9071226363</v>
      </c>
      <c r="D44" s="126">
        <f>SUM(D45:D51)</f>
        <v>9632533969.14</v>
      </c>
      <c r="E44" s="127">
        <f>SUM(E45:E51)</f>
        <v>1386875082.470001</v>
      </c>
      <c r="F44" s="22">
        <f aca="true" t="shared" si="3" ref="F44:F83">(E44/D44)*100</f>
        <v>14.397821870269741</v>
      </c>
      <c r="G44" s="101"/>
      <c r="H44" s="141">
        <f>SUM(H45:H51)</f>
        <v>8938280071.52</v>
      </c>
      <c r="I44" s="22">
        <f t="shared" si="1"/>
        <v>92.79261407388546</v>
      </c>
      <c r="J44" s="227">
        <f t="shared" si="0"/>
        <v>694253897.6199989</v>
      </c>
      <c r="K44" s="228"/>
      <c r="L44" s="228"/>
      <c r="M44" s="18"/>
    </row>
    <row r="45" spans="1:12" s="3" customFormat="1" ht="15.75" customHeight="1">
      <c r="A45" s="226" t="s">
        <v>98</v>
      </c>
      <c r="B45" s="226"/>
      <c r="C45" s="120">
        <v>4499188588</v>
      </c>
      <c r="D45" s="126">
        <v>5060496194.14</v>
      </c>
      <c r="E45" s="127">
        <f>H45-4144108698.91</f>
        <v>735519435.3600006</v>
      </c>
      <c r="F45" s="22">
        <f t="shared" si="3"/>
        <v>14.534531934076428</v>
      </c>
      <c r="G45" s="101"/>
      <c r="H45" s="141">
        <v>4879628134.27</v>
      </c>
      <c r="I45" s="22">
        <f t="shared" si="1"/>
        <v>96.4258828990042</v>
      </c>
      <c r="J45" s="227">
        <f t="shared" si="0"/>
        <v>180868059.8699999</v>
      </c>
      <c r="K45" s="228"/>
      <c r="L45" s="228"/>
    </row>
    <row r="46" spans="1:12" s="3" customFormat="1" ht="15.75" customHeight="1">
      <c r="A46" s="226" t="s">
        <v>99</v>
      </c>
      <c r="B46" s="226"/>
      <c r="C46" s="120">
        <v>2049252</v>
      </c>
      <c r="D46" s="126">
        <v>2049252</v>
      </c>
      <c r="E46" s="127">
        <f>H46-0</f>
        <v>0</v>
      </c>
      <c r="F46" s="22">
        <v>0</v>
      </c>
      <c r="G46" s="101"/>
      <c r="H46" s="141">
        <v>0</v>
      </c>
      <c r="I46" s="22">
        <f t="shared" si="1"/>
        <v>0</v>
      </c>
      <c r="J46" s="227">
        <f t="shared" si="0"/>
        <v>2049252</v>
      </c>
      <c r="K46" s="228"/>
      <c r="L46" s="228"/>
    </row>
    <row r="47" spans="1:12" s="3" customFormat="1" ht="15.75" customHeight="1">
      <c r="A47" s="226" t="s">
        <v>100</v>
      </c>
      <c r="B47" s="226"/>
      <c r="C47" s="120">
        <v>118753068</v>
      </c>
      <c r="D47" s="126">
        <v>118753068</v>
      </c>
      <c r="E47" s="127">
        <f>H47-74627187.74</f>
        <v>17911896.92</v>
      </c>
      <c r="F47" s="22">
        <f t="shared" si="3"/>
        <v>15.083312980174965</v>
      </c>
      <c r="G47" s="101"/>
      <c r="H47" s="141">
        <v>92539084.66</v>
      </c>
      <c r="I47" s="22">
        <f t="shared" si="1"/>
        <v>77.92563696964865</v>
      </c>
      <c r="J47" s="227">
        <f t="shared" si="0"/>
        <v>26213983.340000004</v>
      </c>
      <c r="K47" s="228"/>
      <c r="L47" s="228"/>
    </row>
    <row r="48" spans="1:12" s="3" customFormat="1" ht="15.75" customHeight="1">
      <c r="A48" s="226" t="s">
        <v>41</v>
      </c>
      <c r="B48" s="226"/>
      <c r="C48" s="120">
        <v>29649120</v>
      </c>
      <c r="D48" s="126">
        <v>29649120</v>
      </c>
      <c r="E48" s="127">
        <f>H48-26901392.48</f>
        <v>6503390.18</v>
      </c>
      <c r="F48" s="22">
        <f t="shared" si="3"/>
        <v>21.93451333462848</v>
      </c>
      <c r="G48" s="101"/>
      <c r="H48" s="141">
        <v>33404782.66</v>
      </c>
      <c r="I48" s="22">
        <f t="shared" si="1"/>
        <v>112.66702910575424</v>
      </c>
      <c r="J48" s="227">
        <f t="shared" si="0"/>
        <v>-3755662.66</v>
      </c>
      <c r="K48" s="228"/>
      <c r="L48" s="228"/>
    </row>
    <row r="49" spans="1:12" s="3" customFormat="1" ht="15.75" customHeight="1">
      <c r="A49" s="226" t="s">
        <v>83</v>
      </c>
      <c r="B49" s="226"/>
      <c r="C49" s="120">
        <v>4418448658</v>
      </c>
      <c r="D49" s="126">
        <v>4418448658</v>
      </c>
      <c r="E49" s="127">
        <f>H49-3301555167.97</f>
        <v>624669476.6600003</v>
      </c>
      <c r="F49" s="22">
        <f t="shared" si="3"/>
        <v>14.137755692350975</v>
      </c>
      <c r="G49" s="101"/>
      <c r="H49" s="141">
        <v>3926224644.63</v>
      </c>
      <c r="I49" s="22">
        <f t="shared" si="1"/>
        <v>88.8598000911749</v>
      </c>
      <c r="J49" s="227">
        <f aca="true" t="shared" si="4" ref="J49:J83">D49-H49</f>
        <v>492224013.3699999</v>
      </c>
      <c r="K49" s="228"/>
      <c r="L49" s="228"/>
    </row>
    <row r="50" spans="1:12" s="3" customFormat="1" ht="15.75" customHeight="1">
      <c r="A50" s="226" t="s">
        <v>42</v>
      </c>
      <c r="B50" s="226"/>
      <c r="C50" s="120">
        <v>26447</v>
      </c>
      <c r="D50" s="126">
        <v>26447</v>
      </c>
      <c r="E50" s="127">
        <f>H50-40499.32</f>
        <v>37633.9</v>
      </c>
      <c r="F50" s="22">
        <v>0</v>
      </c>
      <c r="G50" s="105"/>
      <c r="H50" s="146">
        <v>78133.22</v>
      </c>
      <c r="I50" s="22">
        <v>0</v>
      </c>
      <c r="J50" s="217">
        <f t="shared" si="4"/>
        <v>-51686.22</v>
      </c>
      <c r="K50" s="218"/>
      <c r="L50" s="218"/>
    </row>
    <row r="51" spans="1:12" s="3" customFormat="1" ht="15.75" customHeight="1">
      <c r="A51" s="210" t="s">
        <v>151</v>
      </c>
      <c r="B51" s="196"/>
      <c r="C51" s="120">
        <v>3111230</v>
      </c>
      <c r="D51" s="126">
        <v>3111230</v>
      </c>
      <c r="E51" s="127">
        <f>H51-4172042.63</f>
        <v>2233249.45</v>
      </c>
      <c r="F51" s="22">
        <f t="shared" si="3"/>
        <v>71.78027500377665</v>
      </c>
      <c r="G51" s="105"/>
      <c r="H51" s="146">
        <v>6405292.08</v>
      </c>
      <c r="I51" s="22">
        <f t="shared" si="1"/>
        <v>205.87652086152423</v>
      </c>
      <c r="J51" s="194"/>
      <c r="K51" s="195"/>
      <c r="L51" s="195"/>
    </row>
    <row r="52" spans="1:13" s="3" customFormat="1" ht="15.75" customHeight="1">
      <c r="A52" s="226" t="s">
        <v>43</v>
      </c>
      <c r="B52" s="226"/>
      <c r="C52" s="120">
        <f>SUM(C53:C57)</f>
        <v>1596432142</v>
      </c>
      <c r="D52" s="126">
        <f>SUM(D53:D57)</f>
        <v>1498546791.82</v>
      </c>
      <c r="E52" s="127">
        <f>SUM(E53:E57)</f>
        <v>319598109.14999986</v>
      </c>
      <c r="F52" s="22">
        <f t="shared" si="3"/>
        <v>21.327202520105814</v>
      </c>
      <c r="G52" s="105"/>
      <c r="H52" s="144">
        <f>SUM(H53:H57)</f>
        <v>1948181061.03</v>
      </c>
      <c r="I52" s="22">
        <f t="shared" si="1"/>
        <v>130.00468665138675</v>
      </c>
      <c r="J52" s="227">
        <f t="shared" si="4"/>
        <v>-449634269.21000004</v>
      </c>
      <c r="K52" s="228"/>
      <c r="L52" s="228"/>
      <c r="M52" s="24"/>
    </row>
    <row r="53" spans="1:12" s="3" customFormat="1" ht="15.75" customHeight="1">
      <c r="A53" s="226" t="s">
        <v>94</v>
      </c>
      <c r="B53" s="226"/>
      <c r="C53" s="120">
        <v>552165895</v>
      </c>
      <c r="D53" s="126">
        <v>403748489.4</v>
      </c>
      <c r="E53" s="127">
        <f>H53-298296708.42</f>
        <v>61688899.70999998</v>
      </c>
      <c r="F53" s="22">
        <f t="shared" si="3"/>
        <v>15.27904161367247</v>
      </c>
      <c r="G53" s="105"/>
      <c r="H53" s="144">
        <v>359985608.13</v>
      </c>
      <c r="I53" s="22">
        <f t="shared" si="1"/>
        <v>89.16085572604004</v>
      </c>
      <c r="J53" s="227">
        <f t="shared" si="4"/>
        <v>43762881.26999998</v>
      </c>
      <c r="K53" s="228"/>
      <c r="L53" s="228"/>
    </row>
    <row r="54" spans="1:12" s="3" customFormat="1" ht="15.75" customHeight="1">
      <c r="A54" s="226" t="s">
        <v>95</v>
      </c>
      <c r="B54" s="226"/>
      <c r="C54" s="120">
        <v>178111138</v>
      </c>
      <c r="D54" s="126">
        <v>173197445.18</v>
      </c>
      <c r="E54" s="127">
        <f>H54-251193735.04</f>
        <v>40615510.099999994</v>
      </c>
      <c r="F54" s="22">
        <f t="shared" si="3"/>
        <v>23.450409477916523</v>
      </c>
      <c r="G54" s="105"/>
      <c r="H54" s="144">
        <v>291809245.14</v>
      </c>
      <c r="I54" s="22">
        <f t="shared" si="1"/>
        <v>168.4835736674577</v>
      </c>
      <c r="J54" s="227">
        <f t="shared" si="4"/>
        <v>-118611799.95999998</v>
      </c>
      <c r="K54" s="228"/>
      <c r="L54" s="228"/>
    </row>
    <row r="55" spans="1:12" s="3" customFormat="1" ht="15.75" customHeight="1">
      <c r="A55" s="226" t="s">
        <v>96</v>
      </c>
      <c r="B55" s="226"/>
      <c r="C55" s="120">
        <v>120000</v>
      </c>
      <c r="D55" s="22">
        <v>125500</v>
      </c>
      <c r="E55" s="127">
        <f>H55-5500</f>
        <v>0</v>
      </c>
      <c r="F55" s="22">
        <f t="shared" si="3"/>
        <v>0</v>
      </c>
      <c r="G55" s="105"/>
      <c r="H55" s="144">
        <v>5500</v>
      </c>
      <c r="I55" s="22">
        <f t="shared" si="1"/>
        <v>4.382470119521913</v>
      </c>
      <c r="J55" s="227">
        <f t="shared" si="4"/>
        <v>120000</v>
      </c>
      <c r="K55" s="228"/>
      <c r="L55" s="228"/>
    </row>
    <row r="56" spans="1:12" s="3" customFormat="1" ht="15.75" customHeight="1">
      <c r="A56" s="226" t="s">
        <v>156</v>
      </c>
      <c r="B56" s="226"/>
      <c r="C56" s="120"/>
      <c r="D56" s="202">
        <v>0</v>
      </c>
      <c r="E56" s="127"/>
      <c r="F56" s="22"/>
      <c r="G56" s="105"/>
      <c r="H56" s="144">
        <v>0</v>
      </c>
      <c r="I56" s="22" t="e">
        <f t="shared" si="1"/>
        <v>#DIV/0!</v>
      </c>
      <c r="J56" s="199"/>
      <c r="K56" s="200"/>
      <c r="L56" s="200"/>
    </row>
    <row r="57" spans="1:12" s="3" customFormat="1" ht="15.75" customHeight="1">
      <c r="A57" s="226" t="s">
        <v>97</v>
      </c>
      <c r="B57" s="226"/>
      <c r="C57" s="120">
        <v>866035109</v>
      </c>
      <c r="D57" s="120">
        <v>921475357.24</v>
      </c>
      <c r="E57" s="127">
        <f>H57-1079087008.42</f>
        <v>217293699.3399999</v>
      </c>
      <c r="F57" s="22">
        <f t="shared" si="3"/>
        <v>23.581064608264434</v>
      </c>
      <c r="G57" s="105"/>
      <c r="H57" s="144">
        <v>1296380707.76</v>
      </c>
      <c r="I57" s="22">
        <f t="shared" si="1"/>
        <v>140.685336571877</v>
      </c>
      <c r="J57" s="227">
        <f t="shared" si="4"/>
        <v>-374905350.52</v>
      </c>
      <c r="K57" s="228"/>
      <c r="L57" s="228"/>
    </row>
    <row r="58" spans="1:13" s="3" customFormat="1" ht="15.75" customHeight="1">
      <c r="A58" s="278" t="s">
        <v>44</v>
      </c>
      <c r="B58" s="278"/>
      <c r="C58" s="124">
        <f>C59+C62+C66+C67+C77</f>
        <v>726925176</v>
      </c>
      <c r="D58" s="125">
        <f>D59+D62+D66+D67+D77</f>
        <v>442988736.38</v>
      </c>
      <c r="E58" s="123">
        <f>E59+E62+E66+E67+E77</f>
        <v>49628604.75999999</v>
      </c>
      <c r="F58" s="17">
        <f t="shared" si="3"/>
        <v>11.203130166593693</v>
      </c>
      <c r="G58" s="106"/>
      <c r="H58" s="145">
        <f>H59+H62+H66+H67+H77</f>
        <v>166431017.07</v>
      </c>
      <c r="I58" s="17">
        <f t="shared" si="1"/>
        <v>37.570033592735385</v>
      </c>
      <c r="J58" s="280">
        <f t="shared" si="4"/>
        <v>276557719.31</v>
      </c>
      <c r="K58" s="281"/>
      <c r="L58" s="281"/>
      <c r="M58" s="15"/>
    </row>
    <row r="59" spans="1:13" s="3" customFormat="1" ht="15.75" customHeight="1">
      <c r="A59" s="226" t="s">
        <v>45</v>
      </c>
      <c r="B59" s="226"/>
      <c r="C59" s="120">
        <f>C60+C61</f>
        <v>318303500</v>
      </c>
      <c r="D59" s="126">
        <f>D60+D61</f>
        <v>0</v>
      </c>
      <c r="E59" s="127">
        <f>E60+E61</f>
        <v>0</v>
      </c>
      <c r="F59" s="22" t="e">
        <f t="shared" si="3"/>
        <v>#DIV/0!</v>
      </c>
      <c r="G59" s="105"/>
      <c r="H59" s="144">
        <f>H60+H61</f>
        <v>0</v>
      </c>
      <c r="I59" s="22" t="e">
        <f t="shared" si="1"/>
        <v>#DIV/0!</v>
      </c>
      <c r="J59" s="227">
        <f t="shared" si="4"/>
        <v>0</v>
      </c>
      <c r="K59" s="228"/>
      <c r="L59" s="228"/>
      <c r="M59" s="24"/>
    </row>
    <row r="60" spans="1:12" s="3" customFormat="1" ht="15.75" customHeight="1">
      <c r="A60" s="226" t="s">
        <v>117</v>
      </c>
      <c r="B60" s="226"/>
      <c r="C60" s="120">
        <v>51541821</v>
      </c>
      <c r="D60" s="126">
        <v>0</v>
      </c>
      <c r="E60" s="127">
        <f>H60-0</f>
        <v>0</v>
      </c>
      <c r="F60" s="22">
        <v>0</v>
      </c>
      <c r="G60" s="105"/>
      <c r="H60" s="95">
        <v>0</v>
      </c>
      <c r="I60" s="22">
        <v>0</v>
      </c>
      <c r="J60" s="227">
        <f t="shared" si="4"/>
        <v>0</v>
      </c>
      <c r="K60" s="228"/>
      <c r="L60" s="228"/>
    </row>
    <row r="61" spans="1:12" s="3" customFormat="1" ht="15.75" customHeight="1">
      <c r="A61" s="226" t="s">
        <v>118</v>
      </c>
      <c r="B61" s="226"/>
      <c r="C61" s="120">
        <v>266761679</v>
      </c>
      <c r="D61" s="126">
        <v>0</v>
      </c>
      <c r="E61" s="127">
        <f>H61-0</f>
        <v>0</v>
      </c>
      <c r="F61" s="22" t="e">
        <f t="shared" si="3"/>
        <v>#DIV/0!</v>
      </c>
      <c r="G61" s="105"/>
      <c r="H61" s="144">
        <v>0</v>
      </c>
      <c r="I61" s="22" t="e">
        <f t="shared" si="1"/>
        <v>#DIV/0!</v>
      </c>
      <c r="J61" s="227">
        <f t="shared" si="4"/>
        <v>0</v>
      </c>
      <c r="K61" s="228"/>
      <c r="L61" s="228"/>
    </row>
    <row r="62" spans="1:12" s="3" customFormat="1" ht="15.75" customHeight="1">
      <c r="A62" s="226" t="s">
        <v>46</v>
      </c>
      <c r="B62" s="226"/>
      <c r="C62" s="120">
        <f>C63+C64+C65</f>
        <v>4233192</v>
      </c>
      <c r="D62" s="126">
        <f>D63+D64+D65</f>
        <v>4233192</v>
      </c>
      <c r="E62" s="127">
        <f>E63+E64+E65</f>
        <v>10105900</v>
      </c>
      <c r="F62" s="22">
        <f t="shared" si="3"/>
        <v>238.73001744310204</v>
      </c>
      <c r="G62" s="105"/>
      <c r="H62" s="179">
        <f>SUM(H63:H65)</f>
        <v>11731300</v>
      </c>
      <c r="I62" s="22">
        <f t="shared" si="1"/>
        <v>277.1265749344702</v>
      </c>
      <c r="J62" s="227">
        <f t="shared" si="4"/>
        <v>-7498108</v>
      </c>
      <c r="K62" s="228"/>
      <c r="L62" s="228"/>
    </row>
    <row r="63" spans="1:12" s="3" customFormat="1" ht="15.75" customHeight="1">
      <c r="A63" s="226" t="s">
        <v>47</v>
      </c>
      <c r="B63" s="226"/>
      <c r="C63" s="120">
        <v>0</v>
      </c>
      <c r="D63" s="126">
        <v>0</v>
      </c>
      <c r="E63" s="127">
        <f>H63-35400</f>
        <v>10105900</v>
      </c>
      <c r="F63" s="22">
        <v>0</v>
      </c>
      <c r="G63" s="105"/>
      <c r="H63" s="179">
        <v>10141300</v>
      </c>
      <c r="I63" s="22">
        <v>0</v>
      </c>
      <c r="J63" s="227">
        <f t="shared" si="4"/>
        <v>-10141300</v>
      </c>
      <c r="K63" s="228"/>
      <c r="L63" s="228"/>
    </row>
    <row r="64" spans="1:12" s="3" customFormat="1" ht="15.75" customHeight="1">
      <c r="A64" s="226" t="s">
        <v>48</v>
      </c>
      <c r="B64" s="226"/>
      <c r="C64" s="120">
        <v>4233192</v>
      </c>
      <c r="D64" s="126">
        <v>4233192</v>
      </c>
      <c r="E64" s="127">
        <f>H64-1590000</f>
        <v>0</v>
      </c>
      <c r="F64" s="22">
        <f t="shared" si="3"/>
        <v>0</v>
      </c>
      <c r="G64" s="105"/>
      <c r="H64" s="95">
        <v>1590000</v>
      </c>
      <c r="I64" s="22">
        <f t="shared" si="1"/>
        <v>37.56030910008334</v>
      </c>
      <c r="J64" s="227">
        <f t="shared" si="4"/>
        <v>2643192</v>
      </c>
      <c r="K64" s="228"/>
      <c r="L64" s="228"/>
    </row>
    <row r="65" spans="1:12" s="3" customFormat="1" ht="15.75" customHeight="1">
      <c r="A65" s="226" t="s">
        <v>119</v>
      </c>
      <c r="B65" s="226"/>
      <c r="C65" s="120">
        <v>0</v>
      </c>
      <c r="D65" s="126">
        <v>0</v>
      </c>
      <c r="E65" s="127">
        <f>H65</f>
        <v>0</v>
      </c>
      <c r="F65" s="22">
        <v>0</v>
      </c>
      <c r="G65" s="105"/>
      <c r="H65" s="95">
        <v>0</v>
      </c>
      <c r="I65" s="22">
        <v>0</v>
      </c>
      <c r="J65" s="259">
        <f t="shared" si="4"/>
        <v>0</v>
      </c>
      <c r="K65" s="260"/>
      <c r="L65" s="260"/>
    </row>
    <row r="66" spans="1:12" s="3" customFormat="1" ht="15.75" customHeight="1">
      <c r="A66" s="226" t="s">
        <v>49</v>
      </c>
      <c r="B66" s="226"/>
      <c r="C66" s="120">
        <v>62892336</v>
      </c>
      <c r="D66" s="126">
        <v>97259396.38</v>
      </c>
      <c r="E66" s="127">
        <f>H66-77515874.95</f>
        <v>38712702.31999999</v>
      </c>
      <c r="F66" s="22">
        <f t="shared" si="3"/>
        <v>39.80356012980634</v>
      </c>
      <c r="G66" s="105"/>
      <c r="H66" s="144">
        <v>116228577.27</v>
      </c>
      <c r="I66" s="22">
        <f t="shared" si="1"/>
        <v>119.50369999818417</v>
      </c>
      <c r="J66" s="227">
        <f t="shared" si="4"/>
        <v>-18969180.89</v>
      </c>
      <c r="K66" s="228"/>
      <c r="L66" s="228"/>
    </row>
    <row r="67" spans="1:12" s="3" customFormat="1" ht="15.75" customHeight="1">
      <c r="A67" s="226" t="s">
        <v>50</v>
      </c>
      <c r="B67" s="226"/>
      <c r="C67" s="120">
        <f>SUM(C68:C75)</f>
        <v>341496148</v>
      </c>
      <c r="D67" s="120">
        <f>SUM(D68:D75)</f>
        <v>341496148</v>
      </c>
      <c r="E67" s="127">
        <f>SUM(E68:E75)</f>
        <v>791320.5799999955</v>
      </c>
      <c r="F67" s="22">
        <f t="shared" si="3"/>
        <v>0.23172167084004577</v>
      </c>
      <c r="G67" s="105"/>
      <c r="H67" s="144">
        <f>SUM(H68:H76)</f>
        <v>38004703.19</v>
      </c>
      <c r="I67" s="22">
        <f t="shared" si="1"/>
        <v>11.128881954475222</v>
      </c>
      <c r="J67" s="227">
        <f t="shared" si="4"/>
        <v>303491444.81</v>
      </c>
      <c r="K67" s="228"/>
      <c r="L67" s="228"/>
    </row>
    <row r="68" spans="1:12" s="3" customFormat="1" ht="15.75" customHeight="1">
      <c r="A68" s="226" t="s">
        <v>98</v>
      </c>
      <c r="B68" s="226"/>
      <c r="C68" s="120">
        <v>313933061</v>
      </c>
      <c r="D68" s="126">
        <v>313933061</v>
      </c>
      <c r="E68" s="127">
        <f>H68-37006944.38</f>
        <v>787148.1999999955</v>
      </c>
      <c r="F68" s="22">
        <f t="shared" si="3"/>
        <v>0.25073759275070284</v>
      </c>
      <c r="G68" s="105"/>
      <c r="H68" s="144">
        <v>37794092.58</v>
      </c>
      <c r="I68" s="22">
        <f t="shared" si="1"/>
        <v>12.038901688025778</v>
      </c>
      <c r="J68" s="227">
        <f t="shared" si="4"/>
        <v>276138968.42</v>
      </c>
      <c r="K68" s="228"/>
      <c r="L68" s="228"/>
    </row>
    <row r="69" spans="1:12" s="3" customFormat="1" ht="15.75" customHeight="1">
      <c r="A69" s="226" t="s">
        <v>99</v>
      </c>
      <c r="B69" s="226"/>
      <c r="C69" s="120">
        <v>0</v>
      </c>
      <c r="D69" s="126">
        <v>0</v>
      </c>
      <c r="E69" s="127">
        <f>H69</f>
        <v>4172.38</v>
      </c>
      <c r="F69" s="22">
        <v>0</v>
      </c>
      <c r="G69" s="105"/>
      <c r="H69" s="95">
        <v>4172.38</v>
      </c>
      <c r="I69" s="22">
        <v>0</v>
      </c>
      <c r="J69" s="224">
        <f t="shared" si="4"/>
        <v>-4172.38</v>
      </c>
      <c r="K69" s="225"/>
      <c r="L69" s="225"/>
    </row>
    <row r="70" spans="1:12" s="3" customFormat="1" ht="15.75" customHeight="1">
      <c r="A70" s="226" t="s">
        <v>100</v>
      </c>
      <c r="B70" s="226"/>
      <c r="C70" s="120">
        <v>5191538</v>
      </c>
      <c r="D70" s="126">
        <v>5191538</v>
      </c>
      <c r="E70" s="127">
        <f>H70-0</f>
        <v>0</v>
      </c>
      <c r="F70" s="22">
        <v>0</v>
      </c>
      <c r="G70" s="105"/>
      <c r="H70" s="95">
        <v>0</v>
      </c>
      <c r="I70" s="22">
        <v>0</v>
      </c>
      <c r="J70" s="224">
        <f t="shared" si="4"/>
        <v>5191538</v>
      </c>
      <c r="K70" s="225"/>
      <c r="L70" s="225"/>
    </row>
    <row r="71" spans="1:12" s="3" customFormat="1" ht="15.75" customHeight="1">
      <c r="A71" s="226" t="s">
        <v>41</v>
      </c>
      <c r="B71" s="226"/>
      <c r="C71" s="120">
        <v>18221549</v>
      </c>
      <c r="D71" s="126">
        <v>18221549</v>
      </c>
      <c r="E71" s="127">
        <f>H71-6000</f>
        <v>0</v>
      </c>
      <c r="F71" s="22">
        <v>0</v>
      </c>
      <c r="G71" s="105"/>
      <c r="H71" s="144">
        <v>6000</v>
      </c>
      <c r="I71" s="22">
        <v>0</v>
      </c>
      <c r="J71" s="227">
        <f t="shared" si="4"/>
        <v>18215549</v>
      </c>
      <c r="K71" s="228"/>
      <c r="L71" s="228"/>
    </row>
    <row r="72" spans="1:12" s="3" customFormat="1" ht="15.75" customHeight="1">
      <c r="A72" s="226" t="s">
        <v>83</v>
      </c>
      <c r="B72" s="226"/>
      <c r="C72" s="120">
        <v>0</v>
      </c>
      <c r="D72" s="126">
        <v>0</v>
      </c>
      <c r="E72" s="127">
        <f>H72</f>
        <v>0</v>
      </c>
      <c r="F72" s="22">
        <v>0</v>
      </c>
      <c r="G72" s="105"/>
      <c r="H72" s="95">
        <v>0</v>
      </c>
      <c r="I72" s="22">
        <v>0</v>
      </c>
      <c r="J72" s="224">
        <f t="shared" si="4"/>
        <v>0</v>
      </c>
      <c r="K72" s="225"/>
      <c r="L72" s="225"/>
    </row>
    <row r="73" spans="1:12" s="3" customFormat="1" ht="15.75" customHeight="1">
      <c r="A73" s="226" t="s">
        <v>42</v>
      </c>
      <c r="B73" s="226"/>
      <c r="C73" s="120">
        <v>0</v>
      </c>
      <c r="D73" s="126">
        <v>0</v>
      </c>
      <c r="E73" s="127">
        <f>H73</f>
        <v>0</v>
      </c>
      <c r="F73" s="22">
        <v>0</v>
      </c>
      <c r="G73" s="105"/>
      <c r="H73" s="95">
        <v>0</v>
      </c>
      <c r="I73" s="22">
        <v>0</v>
      </c>
      <c r="J73" s="224">
        <f t="shared" si="4"/>
        <v>0</v>
      </c>
      <c r="K73" s="225"/>
      <c r="L73" s="225"/>
    </row>
    <row r="74" spans="1:12" s="3" customFormat="1" ht="15.75" customHeight="1">
      <c r="A74" s="226" t="s">
        <v>101</v>
      </c>
      <c r="B74" s="226"/>
      <c r="C74" s="120">
        <v>4150000</v>
      </c>
      <c r="D74" s="126">
        <v>4150000</v>
      </c>
      <c r="E74" s="127">
        <f>H74-122935.72</f>
        <v>0</v>
      </c>
      <c r="F74" s="22">
        <f t="shared" si="3"/>
        <v>0</v>
      </c>
      <c r="G74" s="105"/>
      <c r="H74" s="95">
        <v>122935.72</v>
      </c>
      <c r="I74" s="22">
        <f t="shared" si="1"/>
        <v>2.9623065060240967</v>
      </c>
      <c r="J74" s="217">
        <f t="shared" si="4"/>
        <v>4027064.28</v>
      </c>
      <c r="K74" s="218"/>
      <c r="L74" s="218"/>
    </row>
    <row r="75" spans="1:12" s="3" customFormat="1" ht="15.75" customHeight="1">
      <c r="A75" s="226" t="s">
        <v>102</v>
      </c>
      <c r="B75" s="226"/>
      <c r="C75" s="120">
        <v>0</v>
      </c>
      <c r="D75" s="126">
        <v>0</v>
      </c>
      <c r="E75" s="127">
        <f>H75</f>
        <v>0</v>
      </c>
      <c r="F75" s="22">
        <v>0</v>
      </c>
      <c r="G75" s="105"/>
      <c r="H75" s="95">
        <v>0</v>
      </c>
      <c r="I75" s="22">
        <v>0</v>
      </c>
      <c r="J75" s="259">
        <f t="shared" si="4"/>
        <v>0</v>
      </c>
      <c r="K75" s="260"/>
      <c r="L75" s="260"/>
    </row>
    <row r="76" spans="1:12" s="3" customFormat="1" ht="15.75" customHeight="1">
      <c r="A76" s="210" t="s">
        <v>158</v>
      </c>
      <c r="B76" s="196"/>
      <c r="C76" s="120">
        <v>0</v>
      </c>
      <c r="D76" s="126">
        <v>0</v>
      </c>
      <c r="E76" s="127">
        <f>H76-77502.51</f>
        <v>0</v>
      </c>
      <c r="F76" s="22">
        <v>0</v>
      </c>
      <c r="G76" s="105"/>
      <c r="H76" s="95">
        <v>77502.51</v>
      </c>
      <c r="I76" s="22">
        <v>0</v>
      </c>
      <c r="J76" s="192"/>
      <c r="K76" s="193"/>
      <c r="L76" s="193"/>
    </row>
    <row r="77" spans="1:12" s="3" customFormat="1" ht="15.75" customHeight="1">
      <c r="A77" s="282" t="s">
        <v>51</v>
      </c>
      <c r="B77" s="226"/>
      <c r="C77" s="120">
        <f>SUM(C78:C81)</f>
        <v>0</v>
      </c>
      <c r="D77" s="126">
        <f>SUM(D78:D81)</f>
        <v>0</v>
      </c>
      <c r="E77" s="127">
        <f>SUM(E78:E81)</f>
        <v>18681.859999999986</v>
      </c>
      <c r="F77" s="22">
        <v>0</v>
      </c>
      <c r="G77" s="105"/>
      <c r="H77" s="179">
        <f>SUM(H78:H81)</f>
        <v>466436.61</v>
      </c>
      <c r="I77" s="22">
        <v>0</v>
      </c>
      <c r="J77" s="227">
        <f t="shared" si="4"/>
        <v>-466436.61</v>
      </c>
      <c r="K77" s="228"/>
      <c r="L77" s="228"/>
    </row>
    <row r="78" spans="1:12" s="3" customFormat="1" ht="15.75" customHeight="1">
      <c r="A78" s="226" t="s">
        <v>120</v>
      </c>
      <c r="B78" s="226"/>
      <c r="C78" s="120">
        <v>0</v>
      </c>
      <c r="D78" s="126">
        <v>0</v>
      </c>
      <c r="E78" s="127">
        <f>H78</f>
        <v>0</v>
      </c>
      <c r="F78" s="22">
        <v>0</v>
      </c>
      <c r="G78" s="105"/>
      <c r="H78" s="95">
        <v>0</v>
      </c>
      <c r="I78" s="22">
        <v>0</v>
      </c>
      <c r="J78" s="224">
        <f t="shared" si="4"/>
        <v>0</v>
      </c>
      <c r="K78" s="225"/>
      <c r="L78" s="225"/>
    </row>
    <row r="79" spans="1:12" s="3" customFormat="1" ht="15.75" customHeight="1">
      <c r="A79" s="226" t="s">
        <v>121</v>
      </c>
      <c r="B79" s="226"/>
      <c r="C79" s="120">
        <v>0</v>
      </c>
      <c r="D79" s="126">
        <v>0</v>
      </c>
      <c r="E79" s="127">
        <f>H79</f>
        <v>0</v>
      </c>
      <c r="F79" s="22">
        <v>0</v>
      </c>
      <c r="G79" s="105"/>
      <c r="H79" s="95">
        <v>0</v>
      </c>
      <c r="I79" s="22">
        <v>0</v>
      </c>
      <c r="J79" s="224">
        <f t="shared" si="4"/>
        <v>0</v>
      </c>
      <c r="K79" s="225"/>
      <c r="L79" s="225"/>
    </row>
    <row r="80" spans="1:12" s="3" customFormat="1" ht="15.75" customHeight="1">
      <c r="A80" s="226" t="s">
        <v>122</v>
      </c>
      <c r="B80" s="226"/>
      <c r="C80" s="120">
        <v>0</v>
      </c>
      <c r="D80" s="126">
        <v>0</v>
      </c>
      <c r="E80" s="127">
        <f>H80</f>
        <v>0</v>
      </c>
      <c r="F80" s="22">
        <v>0</v>
      </c>
      <c r="G80" s="105"/>
      <c r="H80" s="95">
        <v>0</v>
      </c>
      <c r="I80" s="22">
        <v>0</v>
      </c>
      <c r="J80" s="224">
        <f t="shared" si="4"/>
        <v>0</v>
      </c>
      <c r="K80" s="225"/>
      <c r="L80" s="225"/>
    </row>
    <row r="81" spans="1:12" s="3" customFormat="1" ht="15.75" customHeight="1">
      <c r="A81" s="226" t="s">
        <v>123</v>
      </c>
      <c r="B81" s="226"/>
      <c r="C81" s="120">
        <v>0</v>
      </c>
      <c r="D81" s="126">
        <v>0</v>
      </c>
      <c r="E81" s="127">
        <f>H81-447754.75</f>
        <v>18681.859999999986</v>
      </c>
      <c r="F81" s="22">
        <v>0</v>
      </c>
      <c r="G81" s="178"/>
      <c r="H81" s="179">
        <v>466436.61</v>
      </c>
      <c r="I81" s="22">
        <v>0</v>
      </c>
      <c r="J81" s="227">
        <f t="shared" si="4"/>
        <v>-466436.61</v>
      </c>
      <c r="K81" s="228"/>
      <c r="L81" s="228"/>
    </row>
    <row r="82" spans="1:12" s="3" customFormat="1" ht="15.75" customHeight="1">
      <c r="A82" s="283" t="s">
        <v>52</v>
      </c>
      <c r="B82" s="247"/>
      <c r="C82" s="124">
        <f>C143</f>
        <v>5479454544</v>
      </c>
      <c r="D82" s="125">
        <v>5779422343.01</v>
      </c>
      <c r="E82" s="177">
        <f>E143</f>
        <v>1701261759.1000004</v>
      </c>
      <c r="F82" s="17">
        <f>(E82/D82)*100</f>
        <v>29.43653635484201</v>
      </c>
      <c r="G82" s="185"/>
      <c r="H82" s="186">
        <f>H143</f>
        <v>6357850922.74</v>
      </c>
      <c r="I82" s="17">
        <f>(H82/D82)*100</f>
        <v>110.00841512179133</v>
      </c>
      <c r="J82" s="284">
        <f>D82-H82</f>
        <v>-578428579.7299995</v>
      </c>
      <c r="K82" s="285"/>
      <c r="L82" s="285"/>
    </row>
    <row r="83" spans="1:12" s="3" customFormat="1" ht="15.75" customHeight="1">
      <c r="A83" s="231" t="s">
        <v>28</v>
      </c>
      <c r="B83" s="232"/>
      <c r="C83" s="128">
        <f>C17+C82</f>
        <v>92916188583</v>
      </c>
      <c r="D83" s="129">
        <f>D17+D82</f>
        <v>97852461875.27002</v>
      </c>
      <c r="E83" s="128">
        <f>E17+E82</f>
        <v>18904590396.909996</v>
      </c>
      <c r="F83" s="26">
        <f t="shared" si="3"/>
        <v>19.31948367431694</v>
      </c>
      <c r="G83" s="107"/>
      <c r="H83" s="143">
        <f>H82+H17</f>
        <v>100713182736.91</v>
      </c>
      <c r="I83" s="26">
        <f>(H83/D83)*100</f>
        <v>102.92350422954762</v>
      </c>
      <c r="J83" s="286">
        <f t="shared" si="4"/>
        <v>-2860720861.639984</v>
      </c>
      <c r="K83" s="287"/>
      <c r="L83" s="287"/>
    </row>
    <row r="84" spans="1:12" s="3" customFormat="1" ht="15.75" customHeight="1">
      <c r="A84" s="262" t="s">
        <v>71</v>
      </c>
      <c r="B84" s="263"/>
      <c r="C84" s="130">
        <v>0</v>
      </c>
      <c r="D84" s="122">
        <v>0</v>
      </c>
      <c r="E84" s="123">
        <v>0</v>
      </c>
      <c r="F84" s="14">
        <v>0</v>
      </c>
      <c r="G84" s="108"/>
      <c r="H84" s="94">
        <v>0</v>
      </c>
      <c r="I84" s="14">
        <v>0</v>
      </c>
      <c r="J84" s="236">
        <v>0</v>
      </c>
      <c r="K84" s="237"/>
      <c r="L84" s="237"/>
    </row>
    <row r="85" spans="1:12" s="3" customFormat="1" ht="15.75" customHeight="1">
      <c r="A85" s="226" t="s">
        <v>124</v>
      </c>
      <c r="B85" s="247"/>
      <c r="C85" s="131">
        <v>0</v>
      </c>
      <c r="D85" s="126">
        <v>0</v>
      </c>
      <c r="E85" s="127">
        <v>0</v>
      </c>
      <c r="F85" s="22">
        <v>0</v>
      </c>
      <c r="G85" s="105"/>
      <c r="H85" s="95">
        <v>0</v>
      </c>
      <c r="I85" s="22">
        <v>0</v>
      </c>
      <c r="J85" s="224">
        <v>0</v>
      </c>
      <c r="K85" s="225"/>
      <c r="L85" s="225"/>
    </row>
    <row r="86" spans="1:12" s="3" customFormat="1" ht="15.75" customHeight="1">
      <c r="A86" s="226" t="s">
        <v>53</v>
      </c>
      <c r="B86" s="247"/>
      <c r="C86" s="131">
        <v>0</v>
      </c>
      <c r="D86" s="126">
        <v>0</v>
      </c>
      <c r="E86" s="127">
        <v>0</v>
      </c>
      <c r="F86" s="22">
        <v>0</v>
      </c>
      <c r="G86" s="105"/>
      <c r="H86" s="95">
        <v>0</v>
      </c>
      <c r="I86" s="22">
        <v>0</v>
      </c>
      <c r="J86" s="224">
        <v>0</v>
      </c>
      <c r="K86" s="225"/>
      <c r="L86" s="225"/>
    </row>
    <row r="87" spans="1:12" s="3" customFormat="1" ht="15.75" customHeight="1">
      <c r="A87" s="246" t="s">
        <v>54</v>
      </c>
      <c r="B87" s="247"/>
      <c r="C87" s="131">
        <v>0</v>
      </c>
      <c r="D87" s="126">
        <v>0</v>
      </c>
      <c r="E87" s="127">
        <v>0</v>
      </c>
      <c r="F87" s="22">
        <v>0</v>
      </c>
      <c r="G87" s="105"/>
      <c r="H87" s="95">
        <v>0</v>
      </c>
      <c r="I87" s="22">
        <v>0</v>
      </c>
      <c r="J87" s="224">
        <v>0</v>
      </c>
      <c r="K87" s="225"/>
      <c r="L87" s="225"/>
    </row>
    <row r="88" spans="1:12" s="3" customFormat="1" ht="15.75" customHeight="1">
      <c r="A88" s="226" t="s">
        <v>125</v>
      </c>
      <c r="B88" s="247"/>
      <c r="C88" s="131">
        <v>0</v>
      </c>
      <c r="D88" s="126">
        <v>0</v>
      </c>
      <c r="E88" s="127">
        <v>0</v>
      </c>
      <c r="F88" s="22">
        <v>0</v>
      </c>
      <c r="G88" s="105"/>
      <c r="H88" s="95">
        <v>0</v>
      </c>
      <c r="I88" s="22">
        <v>0</v>
      </c>
      <c r="J88" s="224">
        <v>0</v>
      </c>
      <c r="K88" s="225"/>
      <c r="L88" s="225"/>
    </row>
    <row r="89" spans="1:12" s="3" customFormat="1" ht="15.75" customHeight="1">
      <c r="A89" s="226" t="s">
        <v>53</v>
      </c>
      <c r="B89" s="247"/>
      <c r="C89" s="131">
        <v>0</v>
      </c>
      <c r="D89" s="126">
        <v>0</v>
      </c>
      <c r="E89" s="127">
        <v>0</v>
      </c>
      <c r="F89" s="22">
        <v>0</v>
      </c>
      <c r="G89" s="105"/>
      <c r="H89" s="95">
        <v>0</v>
      </c>
      <c r="I89" s="22">
        <v>0</v>
      </c>
      <c r="J89" s="224">
        <v>0</v>
      </c>
      <c r="K89" s="225"/>
      <c r="L89" s="225"/>
    </row>
    <row r="90" spans="1:12" s="3" customFormat="1" ht="15.75" customHeight="1">
      <c r="A90" s="288" t="s">
        <v>54</v>
      </c>
      <c r="B90" s="289"/>
      <c r="C90" s="132">
        <v>0</v>
      </c>
      <c r="D90" s="133">
        <v>0</v>
      </c>
      <c r="E90" s="127">
        <v>0</v>
      </c>
      <c r="F90" s="30">
        <v>0</v>
      </c>
      <c r="G90" s="109"/>
      <c r="H90" s="97">
        <v>0</v>
      </c>
      <c r="I90" s="30">
        <v>0</v>
      </c>
      <c r="J90" s="290">
        <v>0</v>
      </c>
      <c r="K90" s="221"/>
      <c r="L90" s="221"/>
    </row>
    <row r="91" spans="1:13" s="3" customFormat="1" ht="15.75" customHeight="1">
      <c r="A91" s="231" t="s">
        <v>135</v>
      </c>
      <c r="B91" s="232"/>
      <c r="C91" s="134">
        <f>C83+C84</f>
        <v>92916188583</v>
      </c>
      <c r="D91" s="129">
        <f>D83+D84</f>
        <v>97852461875.27002</v>
      </c>
      <c r="E91" s="128">
        <f>E83+E84</f>
        <v>18904590396.909996</v>
      </c>
      <c r="F91" s="31">
        <f>(E91/D91)*100</f>
        <v>19.31948367431694</v>
      </c>
      <c r="G91" s="107"/>
      <c r="H91" s="216">
        <f>H83+H84</f>
        <v>100713182736.91</v>
      </c>
      <c r="I91" s="17">
        <f>(H91/D91)*100</f>
        <v>102.92350422954762</v>
      </c>
      <c r="J91" s="222">
        <f>D91-H91</f>
        <v>-2860720861.639984</v>
      </c>
      <c r="K91" s="223">
        <f>K83+K84</f>
        <v>0</v>
      </c>
      <c r="L91" s="223">
        <f>L83+L84</f>
        <v>0</v>
      </c>
      <c r="M91" s="32"/>
    </row>
    <row r="92" spans="1:13" s="3" customFormat="1" ht="15.75" customHeight="1">
      <c r="A92" s="231" t="s">
        <v>138</v>
      </c>
      <c r="B92" s="291"/>
      <c r="C92" s="183"/>
      <c r="D92" s="183"/>
      <c r="E92" s="183"/>
      <c r="F92" s="183"/>
      <c r="G92" s="107"/>
      <c r="H92" s="96">
        <v>0</v>
      </c>
      <c r="I92" s="187"/>
      <c r="J92" s="229"/>
      <c r="K92" s="238"/>
      <c r="L92" s="238"/>
      <c r="M92" s="24"/>
    </row>
    <row r="93" spans="1:17" s="3" customFormat="1" ht="15.75" customHeight="1">
      <c r="A93" s="294" t="s">
        <v>152</v>
      </c>
      <c r="B93" s="295"/>
      <c r="C93" s="128">
        <f>C91+C92</f>
        <v>92916188583</v>
      </c>
      <c r="D93" s="129">
        <f>D91+D92</f>
        <v>97852461875.27002</v>
      </c>
      <c r="E93" s="128">
        <f>E91+E92</f>
        <v>18904590396.909996</v>
      </c>
      <c r="F93" s="26">
        <f>(E93/D93)*100</f>
        <v>19.31948367431694</v>
      </c>
      <c r="G93" s="107"/>
      <c r="H93" s="162">
        <f>H91+H92</f>
        <v>100713182736.91</v>
      </c>
      <c r="I93" s="26">
        <f>(H93/D93)*100</f>
        <v>102.92350422954762</v>
      </c>
      <c r="J93" s="292">
        <f>D93-H93</f>
        <v>-2860720861.639984</v>
      </c>
      <c r="K93" s="293"/>
      <c r="L93" s="293"/>
      <c r="N93" s="327"/>
      <c r="O93" s="327"/>
      <c r="P93" s="327"/>
      <c r="Q93" s="327"/>
    </row>
    <row r="94" spans="1:17" s="3" customFormat="1" ht="15.75" customHeight="1">
      <c r="A94" s="296" t="s">
        <v>153</v>
      </c>
      <c r="B94" s="296"/>
      <c r="C94" s="26">
        <f>SUM(C95:C96)</f>
        <v>0</v>
      </c>
      <c r="D94" s="26">
        <f>SUM(D95:D96)</f>
        <v>11654044038.48</v>
      </c>
      <c r="E94" s="183"/>
      <c r="F94" s="183"/>
      <c r="G94" s="110"/>
      <c r="H94" s="162">
        <f>SUM(H95:H96)</f>
        <v>11654044038.48</v>
      </c>
      <c r="I94" s="187"/>
      <c r="J94" s="229"/>
      <c r="K94" s="238"/>
      <c r="L94" s="238"/>
      <c r="M94" s="33"/>
      <c r="N94" s="327"/>
      <c r="O94" s="327"/>
      <c r="P94" s="327"/>
      <c r="Q94" s="327"/>
    </row>
    <row r="95" spans="1:17" s="3" customFormat="1" ht="15.75" customHeight="1">
      <c r="A95" s="297" t="s">
        <v>84</v>
      </c>
      <c r="B95" s="297"/>
      <c r="C95" s="135">
        <v>0</v>
      </c>
      <c r="D95" s="136">
        <v>0</v>
      </c>
      <c r="E95" s="183"/>
      <c r="F95" s="183"/>
      <c r="G95" s="229"/>
      <c r="H95" s="230"/>
      <c r="I95" s="187"/>
      <c r="J95" s="229"/>
      <c r="K95" s="238"/>
      <c r="L95" s="238"/>
      <c r="M95" s="33"/>
      <c r="N95" s="327"/>
      <c r="O95" s="327"/>
      <c r="P95" s="327"/>
      <c r="Q95" s="327"/>
    </row>
    <row r="96" spans="1:17" s="3" customFormat="1" ht="15.75" customHeight="1">
      <c r="A96" s="297" t="s">
        <v>126</v>
      </c>
      <c r="B96" s="297"/>
      <c r="C96" s="183"/>
      <c r="D96" s="136">
        <f>H96</f>
        <v>11654044038.48</v>
      </c>
      <c r="E96" s="183"/>
      <c r="F96" s="183"/>
      <c r="G96" s="111"/>
      <c r="H96" s="204">
        <f>11654044038.48</f>
        <v>11654044038.48</v>
      </c>
      <c r="I96" s="187"/>
      <c r="J96" s="229"/>
      <c r="K96" s="238"/>
      <c r="L96" s="238"/>
      <c r="M96" s="33"/>
      <c r="N96" s="327"/>
      <c r="O96" s="327"/>
      <c r="P96" s="327"/>
      <c r="Q96" s="327"/>
    </row>
    <row r="97" spans="1:17" ht="15.75">
      <c r="A97" s="34"/>
      <c r="B97" s="35"/>
      <c r="C97" s="35"/>
      <c r="D97" s="176"/>
      <c r="E97" s="36"/>
      <c r="F97" s="35"/>
      <c r="G97" s="37"/>
      <c r="H97" s="38"/>
      <c r="I97" s="38"/>
      <c r="J97" s="38"/>
      <c r="K97" s="38"/>
      <c r="L97" s="39"/>
      <c r="M97" s="33"/>
      <c r="N97" s="327"/>
      <c r="O97" s="327"/>
      <c r="P97" s="327"/>
      <c r="Q97" s="327"/>
    </row>
    <row r="98" spans="1:12" s="3" customFormat="1" ht="17.25" customHeight="1">
      <c r="A98" s="298" t="s">
        <v>18</v>
      </c>
      <c r="B98" s="81" t="s">
        <v>15</v>
      </c>
      <c r="C98" s="81" t="s">
        <v>15</v>
      </c>
      <c r="D98" s="242" t="s">
        <v>16</v>
      </c>
      <c r="E98" s="301"/>
      <c r="F98" s="308" t="s">
        <v>68</v>
      </c>
      <c r="G98" s="242" t="s">
        <v>17</v>
      </c>
      <c r="H98" s="301"/>
      <c r="I98" s="308" t="s">
        <v>68</v>
      </c>
      <c r="J98" s="233" t="s">
        <v>72</v>
      </c>
      <c r="K98" s="302" t="s">
        <v>131</v>
      </c>
      <c r="L98" s="303"/>
    </row>
    <row r="99" spans="1:12" s="3" customFormat="1" ht="14.25" customHeight="1">
      <c r="A99" s="299"/>
      <c r="B99" s="82" t="s">
        <v>5</v>
      </c>
      <c r="C99" s="82" t="s">
        <v>6</v>
      </c>
      <c r="D99" s="83" t="s">
        <v>73</v>
      </c>
      <c r="E99" s="83" t="s">
        <v>74</v>
      </c>
      <c r="F99" s="309"/>
      <c r="G99" s="83" t="s">
        <v>73</v>
      </c>
      <c r="H99" s="90" t="s">
        <v>74</v>
      </c>
      <c r="I99" s="309"/>
      <c r="J99" s="234"/>
      <c r="K99" s="304"/>
      <c r="L99" s="305"/>
    </row>
    <row r="100" spans="1:12" s="3" customFormat="1" ht="14.25" customHeight="1">
      <c r="A100" s="299"/>
      <c r="B100" s="82"/>
      <c r="C100" s="82"/>
      <c r="D100" s="84" t="s">
        <v>75</v>
      </c>
      <c r="E100" s="84" t="s">
        <v>75</v>
      </c>
      <c r="F100" s="309"/>
      <c r="G100" s="84" t="s">
        <v>75</v>
      </c>
      <c r="H100" s="91" t="s">
        <v>75</v>
      </c>
      <c r="I100" s="309"/>
      <c r="J100" s="234"/>
      <c r="K100" s="304"/>
      <c r="L100" s="305"/>
    </row>
    <row r="101" spans="1:12" s="3" customFormat="1" ht="42" customHeight="1">
      <c r="A101" s="300"/>
      <c r="B101" s="85" t="s">
        <v>19</v>
      </c>
      <c r="C101" s="85" t="s">
        <v>20</v>
      </c>
      <c r="D101" s="85"/>
      <c r="E101" s="85" t="s">
        <v>76</v>
      </c>
      <c r="F101" s="86" t="s">
        <v>77</v>
      </c>
      <c r="G101" s="85"/>
      <c r="H101" s="92" t="s">
        <v>21</v>
      </c>
      <c r="I101" s="85" t="s">
        <v>78</v>
      </c>
      <c r="J101" s="85" t="s">
        <v>22</v>
      </c>
      <c r="K101" s="306"/>
      <c r="L101" s="307"/>
    </row>
    <row r="102" spans="1:13" s="3" customFormat="1" ht="15.75" customHeight="1">
      <c r="A102" s="211" t="s">
        <v>79</v>
      </c>
      <c r="B102" s="125">
        <f>B103+B109+B113</f>
        <v>86595710019</v>
      </c>
      <c r="C102" s="174">
        <f>C103+C109+C113</f>
        <v>105057690353.98001</v>
      </c>
      <c r="D102" s="122">
        <f>D103+D109+D113</f>
        <v>13551378913.11</v>
      </c>
      <c r="E102" s="124">
        <f>E103+E109+E113</f>
        <v>87429250556.23001</v>
      </c>
      <c r="F102" s="125">
        <f>C102-E102</f>
        <v>17628439797.75</v>
      </c>
      <c r="G102" s="149">
        <f>G103+G109+G113</f>
        <v>19529170362.83999</v>
      </c>
      <c r="H102" s="154">
        <f>H103+H109+H113</f>
        <v>86155764142.93</v>
      </c>
      <c r="I102" s="158">
        <f>C102-H102</f>
        <v>18901926211.05002</v>
      </c>
      <c r="J102" s="173">
        <f>J103+J109+J113</f>
        <v>84981371294.93001</v>
      </c>
      <c r="K102" s="270">
        <f>K103+K109+K113</f>
        <v>1273486413.3000078</v>
      </c>
      <c r="L102" s="271" t="e">
        <f>L103+L109+L113+#REF!</f>
        <v>#REF!</v>
      </c>
      <c r="M102" s="15"/>
    </row>
    <row r="103" spans="1:13" s="3" customFormat="1" ht="15.75" customHeight="1">
      <c r="A103" s="205" t="s">
        <v>55</v>
      </c>
      <c r="B103" s="125">
        <f>SUM(B104:B106)</f>
        <v>76496269598</v>
      </c>
      <c r="C103" s="174">
        <f>SUM(C104:C106)</f>
        <v>90335454503.82</v>
      </c>
      <c r="D103" s="125">
        <f>SUM(D104:D106)</f>
        <v>13705139116.11</v>
      </c>
      <c r="E103" s="124">
        <f>SUM(E104:E106)</f>
        <v>81061930018.91</v>
      </c>
      <c r="F103" s="125">
        <f>C103-E103</f>
        <v>9273524484.910004</v>
      </c>
      <c r="G103" s="149">
        <f>SUM(G104:G106)</f>
        <v>17474725601.12999</v>
      </c>
      <c r="H103" s="155">
        <f>SUM(H104:H106)</f>
        <v>80082368508.43</v>
      </c>
      <c r="I103" s="145">
        <f aca="true" t="shared" si="5" ref="I103:I115">C103-H103</f>
        <v>10253085995.390015</v>
      </c>
      <c r="J103" s="174">
        <f>SUM(J104:J106)</f>
        <v>79128584633.33</v>
      </c>
      <c r="K103" s="280">
        <f>SUM(K104:K106)</f>
        <v>979561510.4800072</v>
      </c>
      <c r="L103" s="281">
        <f>SUM(L104:L106)</f>
        <v>0</v>
      </c>
      <c r="M103" s="24"/>
    </row>
    <row r="104" spans="1:13" s="1" customFormat="1" ht="15.75" customHeight="1">
      <c r="A104" s="206" t="s">
        <v>56</v>
      </c>
      <c r="B104" s="126">
        <v>52472815839</v>
      </c>
      <c r="C104" s="172">
        <v>57925417178.94</v>
      </c>
      <c r="D104" s="126">
        <f>E104-43662438139.48</f>
        <v>9288135614.779999</v>
      </c>
      <c r="E104" s="120">
        <v>52950573754.26</v>
      </c>
      <c r="F104" s="126">
        <f>C104-E104</f>
        <v>4974843424.68</v>
      </c>
      <c r="G104" s="147">
        <f>H104-41992467190.62</f>
        <v>10736456788.149994</v>
      </c>
      <c r="H104" s="156">
        <v>52728923978.77</v>
      </c>
      <c r="I104" s="144">
        <f t="shared" si="5"/>
        <v>5196493200.170006</v>
      </c>
      <c r="J104" s="172">
        <v>52552894653.45</v>
      </c>
      <c r="K104" s="217">
        <f>E104-H104</f>
        <v>221649775.4900055</v>
      </c>
      <c r="L104" s="218"/>
      <c r="M104" s="41"/>
    </row>
    <row r="105" spans="1:13" s="3" customFormat="1" ht="15.75" customHeight="1">
      <c r="A105" s="206" t="s">
        <v>57</v>
      </c>
      <c r="B105" s="126">
        <v>1514362957</v>
      </c>
      <c r="C105" s="172">
        <v>1036945736.67</v>
      </c>
      <c r="D105" s="126">
        <f>E105-582530429.4</f>
        <v>363015614.57000005</v>
      </c>
      <c r="E105" s="120">
        <v>945546043.97</v>
      </c>
      <c r="F105" s="126">
        <f aca="true" t="shared" si="6" ref="F105:F113">C105-E105</f>
        <v>91399692.69999993</v>
      </c>
      <c r="G105" s="147">
        <f>H105-582199120.21</f>
        <v>363346923.76</v>
      </c>
      <c r="H105" s="156">
        <v>945546043.97</v>
      </c>
      <c r="I105" s="144">
        <f t="shared" si="5"/>
        <v>91399692.69999993</v>
      </c>
      <c r="J105" s="172">
        <v>945531230.64</v>
      </c>
      <c r="K105" s="217">
        <f>E105-H105</f>
        <v>0</v>
      </c>
      <c r="L105" s="218"/>
      <c r="M105" s="42"/>
    </row>
    <row r="106" spans="1:13" s="3" customFormat="1" ht="15.75" customHeight="1">
      <c r="A106" s="206" t="s">
        <v>58</v>
      </c>
      <c r="B106" s="126">
        <f>B107+B108</f>
        <v>22509090802</v>
      </c>
      <c r="C106" s="201">
        <v>31373091588.21</v>
      </c>
      <c r="D106" s="126">
        <f>D107+D108</f>
        <v>4053987886.760002</v>
      </c>
      <c r="E106" s="120">
        <v>27165810220.68</v>
      </c>
      <c r="F106" s="126">
        <f t="shared" si="6"/>
        <v>4207281367.529999</v>
      </c>
      <c r="G106" s="147">
        <f>G107+G108</f>
        <v>6374921889.219997</v>
      </c>
      <c r="H106" s="156">
        <v>26407898485.69</v>
      </c>
      <c r="I106" s="144">
        <f t="shared" si="5"/>
        <v>4965193102.52</v>
      </c>
      <c r="J106" s="172">
        <v>25630158749.24</v>
      </c>
      <c r="K106" s="217">
        <f>E106-H106</f>
        <v>757911734.9900017</v>
      </c>
      <c r="L106" s="218"/>
      <c r="M106" s="43"/>
    </row>
    <row r="107" spans="1:12" s="3" customFormat="1" ht="15.75" customHeight="1">
      <c r="A107" s="212" t="s">
        <v>136</v>
      </c>
      <c r="B107" s="126">
        <v>0</v>
      </c>
      <c r="C107" s="172">
        <v>0</v>
      </c>
      <c r="D107" s="126">
        <f>E107-0</f>
        <v>0</v>
      </c>
      <c r="E107" s="120">
        <v>0</v>
      </c>
      <c r="F107" s="126">
        <f t="shared" si="6"/>
        <v>0</v>
      </c>
      <c r="G107" s="147">
        <f>H107-0</f>
        <v>0</v>
      </c>
      <c r="H107" s="156">
        <v>0</v>
      </c>
      <c r="I107" s="144">
        <f t="shared" si="5"/>
        <v>0</v>
      </c>
      <c r="J107" s="172">
        <v>0</v>
      </c>
      <c r="K107" s="217">
        <f>E107-H107</f>
        <v>0</v>
      </c>
      <c r="L107" s="218"/>
    </row>
    <row r="108" spans="1:12" s="3" customFormat="1" ht="15.75" customHeight="1">
      <c r="A108" s="212" t="s">
        <v>137</v>
      </c>
      <c r="B108" s="126">
        <v>22509090802</v>
      </c>
      <c r="C108" s="172">
        <f>C106-C107</f>
        <v>31373091588.21</v>
      </c>
      <c r="D108" s="126">
        <f>E108-23111822333.92</f>
        <v>4053987886.760002</v>
      </c>
      <c r="E108" s="120">
        <f>E106-E107</f>
        <v>27165810220.68</v>
      </c>
      <c r="F108" s="126">
        <f t="shared" si="6"/>
        <v>4207281367.529999</v>
      </c>
      <c r="G108" s="147">
        <f>H108-20032976596.47</f>
        <v>6374921889.219997</v>
      </c>
      <c r="H108" s="156">
        <f>H106-H107</f>
        <v>26407898485.69</v>
      </c>
      <c r="I108" s="144">
        <f t="shared" si="5"/>
        <v>4965193102.52</v>
      </c>
      <c r="J108" s="172">
        <f>J106-J107</f>
        <v>25630158749.24</v>
      </c>
      <c r="K108" s="217">
        <f>K106-K107</f>
        <v>757911734.9900017</v>
      </c>
      <c r="L108" s="218"/>
    </row>
    <row r="109" spans="1:12" s="1" customFormat="1" ht="15.75">
      <c r="A109" s="205" t="s">
        <v>59</v>
      </c>
      <c r="B109" s="125">
        <f>SUM(B110:B112)</f>
        <v>7648694978</v>
      </c>
      <c r="C109" s="174">
        <f>SUM(C110:C112)</f>
        <v>12275490407.159998</v>
      </c>
      <c r="D109" s="125">
        <f>SUM(D110:D112)</f>
        <v>-153760202.9999994</v>
      </c>
      <c r="E109" s="124">
        <f>SUM(E110:E112)</f>
        <v>6367320537.320001</v>
      </c>
      <c r="F109" s="125">
        <f t="shared" si="6"/>
        <v>5908169869.839997</v>
      </c>
      <c r="G109" s="149">
        <f>SUM(G110:G112)</f>
        <v>2054444761.7099998</v>
      </c>
      <c r="H109" s="155">
        <f>SUM(H110:H112)</f>
        <v>6073395634.5</v>
      </c>
      <c r="I109" s="145">
        <f t="shared" si="5"/>
        <v>6202094772.659998</v>
      </c>
      <c r="J109" s="174">
        <f>SUM(J110:J112)</f>
        <v>5852786661.599999</v>
      </c>
      <c r="K109" s="310">
        <f>SUM(K110:K112)</f>
        <v>293924902.82000065</v>
      </c>
      <c r="L109" s="311"/>
    </row>
    <row r="110" spans="1:14" s="3" customFormat="1" ht="15.75" customHeight="1">
      <c r="A110" s="206" t="s">
        <v>60</v>
      </c>
      <c r="B110" s="126">
        <v>6597231016</v>
      </c>
      <c r="C110" s="172">
        <v>11468231331.89</v>
      </c>
      <c r="D110" s="126">
        <f>E110-5838747530.57</f>
        <v>-234211020.59999943</v>
      </c>
      <c r="E110" s="120">
        <v>5604536509.97</v>
      </c>
      <c r="F110" s="126">
        <f t="shared" si="6"/>
        <v>5863694821.919999</v>
      </c>
      <c r="G110" s="147">
        <f>H110-3337085022.54</f>
        <v>1973526584.6099997</v>
      </c>
      <c r="H110" s="156">
        <v>5310611607.15</v>
      </c>
      <c r="I110" s="144">
        <f t="shared" si="5"/>
        <v>6157619724.74</v>
      </c>
      <c r="J110" s="172">
        <v>5090078757.53</v>
      </c>
      <c r="K110" s="217">
        <f>E110-H110</f>
        <v>293924902.82000065</v>
      </c>
      <c r="L110" s="218"/>
      <c r="N110" s="43"/>
    </row>
    <row r="111" spans="1:12" s="3" customFormat="1" ht="15.75" customHeight="1">
      <c r="A111" s="206" t="s">
        <v>61</v>
      </c>
      <c r="B111" s="126">
        <v>556948729</v>
      </c>
      <c r="C111" s="172">
        <v>465282313.96</v>
      </c>
      <c r="D111" s="126">
        <f>E111-390026131.79</f>
        <v>30781134.25</v>
      </c>
      <c r="E111" s="120">
        <v>420807266.04</v>
      </c>
      <c r="F111" s="126">
        <f t="shared" si="6"/>
        <v>44475047.91999996</v>
      </c>
      <c r="G111" s="147">
        <f>H111-389563130.65</f>
        <v>31244135.390000045</v>
      </c>
      <c r="H111" s="156">
        <v>420807266.04</v>
      </c>
      <c r="I111" s="144">
        <f t="shared" si="5"/>
        <v>44475047.91999996</v>
      </c>
      <c r="J111" s="172">
        <v>420807266.04</v>
      </c>
      <c r="K111" s="217">
        <f>E111-H111</f>
        <v>0</v>
      </c>
      <c r="L111" s="218"/>
    </row>
    <row r="112" spans="1:12" s="3" customFormat="1" ht="15.75" customHeight="1">
      <c r="A112" s="206" t="s">
        <v>62</v>
      </c>
      <c r="B112" s="126">
        <v>494515233</v>
      </c>
      <c r="C112" s="172">
        <v>341976761.31</v>
      </c>
      <c r="D112" s="126">
        <f>E112-292307077.96</f>
        <v>49669683.350000024</v>
      </c>
      <c r="E112" s="120">
        <v>341976761.31</v>
      </c>
      <c r="F112" s="126">
        <f t="shared" si="6"/>
        <v>0</v>
      </c>
      <c r="G112" s="147">
        <f>H112-292302719.6</f>
        <v>49674041.70999998</v>
      </c>
      <c r="H112" s="156">
        <v>341976761.31</v>
      </c>
      <c r="I112" s="144">
        <f t="shared" si="5"/>
        <v>0</v>
      </c>
      <c r="J112" s="172">
        <v>341900638.03</v>
      </c>
      <c r="K112" s="217">
        <f>E112-H112</f>
        <v>0</v>
      </c>
      <c r="L112" s="218"/>
    </row>
    <row r="113" spans="1:12" s="3" customFormat="1" ht="15.75" customHeight="1">
      <c r="A113" s="205" t="s">
        <v>63</v>
      </c>
      <c r="B113" s="137">
        <v>2450745443</v>
      </c>
      <c r="C113" s="137">
        <v>2446745443</v>
      </c>
      <c r="D113" s="188"/>
      <c r="E113" s="188"/>
      <c r="F113" s="149">
        <f t="shared" si="6"/>
        <v>2446745443</v>
      </c>
      <c r="G113" s="188"/>
      <c r="H113" s="188"/>
      <c r="I113" s="145">
        <f t="shared" si="5"/>
        <v>2446745443</v>
      </c>
      <c r="J113" s="190"/>
      <c r="K113" s="312"/>
      <c r="L113" s="313"/>
    </row>
    <row r="114" spans="1:12" s="3" customFormat="1" ht="15.75" customHeight="1">
      <c r="A114" s="205" t="s">
        <v>64</v>
      </c>
      <c r="B114" s="137">
        <f>B212</f>
        <v>5479454544</v>
      </c>
      <c r="C114" s="137">
        <v>7133311805.05</v>
      </c>
      <c r="D114" s="189">
        <f>D212</f>
        <v>1217525612.9700003</v>
      </c>
      <c r="E114" s="175">
        <f>E212</f>
        <v>6369820092.67</v>
      </c>
      <c r="F114" s="149">
        <f>C114-E114</f>
        <v>763491712.3800001</v>
      </c>
      <c r="G114" s="149">
        <f>H114-4842923656.98</f>
        <v>1504918600.0500002</v>
      </c>
      <c r="H114" s="157">
        <f>H212</f>
        <v>6347842257.03</v>
      </c>
      <c r="I114" s="142">
        <f t="shared" si="5"/>
        <v>785469548.0200005</v>
      </c>
      <c r="J114" s="174">
        <v>5982740952.77</v>
      </c>
      <c r="K114" s="314">
        <f>E114-H114</f>
        <v>21977835.640000343</v>
      </c>
      <c r="L114" s="315"/>
    </row>
    <row r="115" spans="1:17" s="3" customFormat="1" ht="15.75" customHeight="1">
      <c r="A115" s="213" t="s">
        <v>29</v>
      </c>
      <c r="B115" s="138">
        <f>B102+B114</f>
        <v>92075164563</v>
      </c>
      <c r="C115" s="138">
        <f>C102+C114</f>
        <v>112191002159.03001</v>
      </c>
      <c r="D115" s="138">
        <f>D102+D114</f>
        <v>14768904526.080002</v>
      </c>
      <c r="E115" s="138">
        <f>E102+E114</f>
        <v>93799070648.90001</v>
      </c>
      <c r="F115" s="148">
        <f>C115-E115</f>
        <v>18391931510.130005</v>
      </c>
      <c r="G115" s="148">
        <f>G102+G114</f>
        <v>21034088962.889988</v>
      </c>
      <c r="H115" s="129">
        <f>H102+H114</f>
        <v>92503606399.95999</v>
      </c>
      <c r="I115" s="143">
        <f t="shared" si="5"/>
        <v>19687395759.070023</v>
      </c>
      <c r="J115" s="122">
        <f>J102+J114</f>
        <v>90964112247.70001</v>
      </c>
      <c r="K115" s="284">
        <f>K102+K114</f>
        <v>1295464248.9400082</v>
      </c>
      <c r="L115" s="285" t="e">
        <f>L102+#REF!</f>
        <v>#REF!</v>
      </c>
      <c r="M115" s="44"/>
      <c r="N115" s="24"/>
      <c r="O115" s="44"/>
      <c r="P115" s="44"/>
      <c r="Q115" s="44"/>
    </row>
    <row r="116" spans="1:17" s="3" customFormat="1" ht="15.75" customHeight="1">
      <c r="A116" s="214" t="s">
        <v>80</v>
      </c>
      <c r="B116" s="150">
        <f>B117+B120</f>
        <v>841024020</v>
      </c>
      <c r="C116" s="150">
        <f>C117+C120</f>
        <v>494437862.35</v>
      </c>
      <c r="D116" s="139">
        <f>D117+D120</f>
        <v>159803581.86999997</v>
      </c>
      <c r="E116" s="150">
        <f>E117+E120</f>
        <v>386245371.39</v>
      </c>
      <c r="F116" s="45">
        <f aca="true" t="shared" si="7" ref="F116:F121">C116-E116</f>
        <v>108192490.96000004</v>
      </c>
      <c r="G116" s="150">
        <f>G117+G120</f>
        <v>159803581.86999997</v>
      </c>
      <c r="H116" s="122">
        <f>H117+H120</f>
        <v>386245371.39</v>
      </c>
      <c r="I116" s="93">
        <f>I117+I120</f>
        <v>108192490.96000004</v>
      </c>
      <c r="J116" s="122">
        <f>J117+J120</f>
        <v>386245371.39</v>
      </c>
      <c r="K116" s="237">
        <f>K117+K120</f>
        <v>0</v>
      </c>
      <c r="L116" s="237"/>
      <c r="M116" s="44"/>
      <c r="N116" s="44"/>
      <c r="O116" s="44"/>
      <c r="P116" s="44"/>
      <c r="Q116" s="44"/>
    </row>
    <row r="117" spans="1:17" s="3" customFormat="1" ht="15.75" customHeight="1">
      <c r="A117" s="212" t="s">
        <v>23</v>
      </c>
      <c r="B117" s="147">
        <f>B118+B119</f>
        <v>841024020</v>
      </c>
      <c r="C117" s="147">
        <f>C118+C119</f>
        <v>494437862.35</v>
      </c>
      <c r="D117" s="126">
        <f>D118+D119</f>
        <v>159803581.86999997</v>
      </c>
      <c r="E117" s="126">
        <f>E118+E119</f>
        <v>386245371.39</v>
      </c>
      <c r="F117" s="20">
        <f t="shared" si="7"/>
        <v>108192490.96000004</v>
      </c>
      <c r="G117" s="147">
        <f>G118+G119</f>
        <v>159803581.86999997</v>
      </c>
      <c r="H117" s="156">
        <f>H118+H119</f>
        <v>386245371.39</v>
      </c>
      <c r="I117" s="95">
        <f>I118+I119</f>
        <v>108192490.96000004</v>
      </c>
      <c r="J117" s="126">
        <f>J118+J119</f>
        <v>386245371.39</v>
      </c>
      <c r="K117" s="225">
        <f>K118+K119</f>
        <v>0</v>
      </c>
      <c r="L117" s="225"/>
      <c r="M117" s="44"/>
      <c r="N117" s="44"/>
      <c r="O117" s="44"/>
      <c r="P117" s="44"/>
      <c r="Q117" s="44"/>
    </row>
    <row r="118" spans="1:12" s="3" customFormat="1" ht="15.75" customHeight="1">
      <c r="A118" s="212" t="s">
        <v>24</v>
      </c>
      <c r="B118" s="40">
        <v>0</v>
      </c>
      <c r="C118" s="40">
        <v>0</v>
      </c>
      <c r="D118" s="126">
        <f>E118-0</f>
        <v>0</v>
      </c>
      <c r="E118" s="40">
        <v>0</v>
      </c>
      <c r="F118" s="20">
        <f t="shared" si="7"/>
        <v>0</v>
      </c>
      <c r="G118" s="40">
        <f>H118-0</f>
        <v>0</v>
      </c>
      <c r="H118" s="98">
        <v>0</v>
      </c>
      <c r="I118" s="95">
        <f>C118-H118</f>
        <v>0</v>
      </c>
      <c r="J118" s="20">
        <v>0</v>
      </c>
      <c r="K118" s="225">
        <v>0</v>
      </c>
      <c r="L118" s="225"/>
    </row>
    <row r="119" spans="1:12" s="3" customFormat="1" ht="15.75" customHeight="1">
      <c r="A119" s="212" t="s">
        <v>25</v>
      </c>
      <c r="B119" s="147">
        <v>841024020</v>
      </c>
      <c r="C119" s="147">
        <v>494437862.35</v>
      </c>
      <c r="D119" s="126">
        <f>E119-226441789.52</f>
        <v>159803581.86999997</v>
      </c>
      <c r="E119" s="126">
        <v>386245371.39</v>
      </c>
      <c r="F119" s="20">
        <f t="shared" si="7"/>
        <v>108192490.96000004</v>
      </c>
      <c r="G119" s="159">
        <f>H119-226441789.52</f>
        <v>159803581.86999997</v>
      </c>
      <c r="H119" s="156">
        <v>386245371.39</v>
      </c>
      <c r="I119" s="95">
        <f>C119-H119</f>
        <v>108192490.96000004</v>
      </c>
      <c r="J119" s="126">
        <v>386245371.39</v>
      </c>
      <c r="K119" s="225">
        <f>E119-H119</f>
        <v>0</v>
      </c>
      <c r="L119" s="225"/>
    </row>
    <row r="120" spans="1:12" s="3" customFormat="1" ht="15.75" customHeight="1">
      <c r="A120" s="212" t="s">
        <v>26</v>
      </c>
      <c r="B120" s="40">
        <f>B121+B122</f>
        <v>0</v>
      </c>
      <c r="C120" s="40">
        <f>C121+C122</f>
        <v>0</v>
      </c>
      <c r="D120" s="126">
        <f>D121+D122</f>
        <v>0</v>
      </c>
      <c r="E120" s="40">
        <f>E121+E122</f>
        <v>0</v>
      </c>
      <c r="F120" s="20">
        <f t="shared" si="7"/>
        <v>0</v>
      </c>
      <c r="G120" s="40">
        <f>G121+G122</f>
        <v>0</v>
      </c>
      <c r="H120" s="20">
        <f>H121+H122</f>
        <v>0</v>
      </c>
      <c r="I120" s="89">
        <f>I121+I122</f>
        <v>0</v>
      </c>
      <c r="J120" s="20">
        <f>J121+J122</f>
        <v>0</v>
      </c>
      <c r="K120" s="225">
        <f>K121+K122</f>
        <v>0</v>
      </c>
      <c r="L120" s="225"/>
    </row>
    <row r="121" spans="1:12" s="3" customFormat="1" ht="15.75" customHeight="1">
      <c r="A121" s="212" t="s">
        <v>24</v>
      </c>
      <c r="B121" s="40">
        <v>0</v>
      </c>
      <c r="C121" s="40">
        <v>0</v>
      </c>
      <c r="D121" s="126">
        <f>E121-0</f>
        <v>0</v>
      </c>
      <c r="E121" s="40">
        <v>0</v>
      </c>
      <c r="F121" s="20">
        <f t="shared" si="7"/>
        <v>0</v>
      </c>
      <c r="G121" s="40">
        <f>H121-0</f>
        <v>0</v>
      </c>
      <c r="H121" s="98">
        <v>0</v>
      </c>
      <c r="I121" s="95">
        <f>C121-H121</f>
        <v>0</v>
      </c>
      <c r="J121" s="20">
        <v>0</v>
      </c>
      <c r="K121" s="225">
        <v>0</v>
      </c>
      <c r="L121" s="225"/>
    </row>
    <row r="122" spans="1:12" s="3" customFormat="1" ht="15.75" customHeight="1">
      <c r="A122" s="212" t="s">
        <v>25</v>
      </c>
      <c r="B122" s="46">
        <v>0</v>
      </c>
      <c r="C122" s="46">
        <v>0</v>
      </c>
      <c r="D122" s="133">
        <f>E122-0</f>
        <v>0</v>
      </c>
      <c r="E122" s="29">
        <v>0</v>
      </c>
      <c r="F122" s="29">
        <v>0</v>
      </c>
      <c r="G122" s="47">
        <f>H122-0</f>
        <v>0</v>
      </c>
      <c r="H122" s="99">
        <v>0</v>
      </c>
      <c r="I122" s="97">
        <f>C122-H122</f>
        <v>0</v>
      </c>
      <c r="J122" s="29">
        <v>0</v>
      </c>
      <c r="K122" s="221">
        <v>0</v>
      </c>
      <c r="L122" s="221"/>
    </row>
    <row r="123" spans="1:14" s="3" customFormat="1" ht="15.75" customHeight="1">
      <c r="A123" s="213" t="s">
        <v>139</v>
      </c>
      <c r="B123" s="163">
        <f aca="true" t="shared" si="8" ref="B123:L123">B115+B116</f>
        <v>92916188583</v>
      </c>
      <c r="C123" s="164">
        <f>C115+C116</f>
        <v>112685440021.38002</v>
      </c>
      <c r="D123" s="164">
        <f t="shared" si="8"/>
        <v>14928708107.950003</v>
      </c>
      <c r="E123" s="164">
        <f t="shared" si="8"/>
        <v>94185316020.29001</v>
      </c>
      <c r="F123" s="164">
        <f>F115+F116</f>
        <v>18500124001.090004</v>
      </c>
      <c r="G123" s="164">
        <f t="shared" si="8"/>
        <v>21193892544.759987</v>
      </c>
      <c r="H123" s="163">
        <f t="shared" si="8"/>
        <v>92889851771.34999</v>
      </c>
      <c r="I123" s="165">
        <f>C123-H123</f>
        <v>19795588250.03003</v>
      </c>
      <c r="J123" s="166">
        <f>J115+J116</f>
        <v>91350357619.09001</v>
      </c>
      <c r="K123" s="222">
        <f>K115+K116</f>
        <v>1295464248.9400082</v>
      </c>
      <c r="L123" s="223" t="e">
        <f t="shared" si="8"/>
        <v>#REF!</v>
      </c>
      <c r="M123" s="48"/>
      <c r="N123" s="24"/>
    </row>
    <row r="124" spans="1:14" s="3" customFormat="1" ht="15.75" customHeight="1">
      <c r="A124" s="213" t="s">
        <v>65</v>
      </c>
      <c r="B124" s="183"/>
      <c r="C124" s="183"/>
      <c r="D124" s="183"/>
      <c r="E124" s="163">
        <f>H91-E123</f>
        <v>6527866716.619995</v>
      </c>
      <c r="F124" s="183"/>
      <c r="G124" s="183"/>
      <c r="H124" s="168">
        <f>H91-H123</f>
        <v>7823330965.560013</v>
      </c>
      <c r="I124" s="183"/>
      <c r="J124" s="163">
        <f>H91-J123</f>
        <v>9362825117.819992</v>
      </c>
      <c r="K124" s="229"/>
      <c r="L124" s="238"/>
      <c r="M124"/>
      <c r="N124"/>
    </row>
    <row r="125" spans="1:14" s="3" customFormat="1" ht="15.75" customHeight="1">
      <c r="A125" s="215" t="s">
        <v>140</v>
      </c>
      <c r="B125" s="169">
        <f aca="true" t="shared" si="9" ref="B125:J125">B123+B124</f>
        <v>92916188583</v>
      </c>
      <c r="C125" s="164">
        <f t="shared" si="9"/>
        <v>112685440021.38002</v>
      </c>
      <c r="D125" s="164">
        <f t="shared" si="9"/>
        <v>14928708107.950003</v>
      </c>
      <c r="E125" s="164">
        <f t="shared" si="9"/>
        <v>100713182736.91</v>
      </c>
      <c r="F125" s="167">
        <f t="shared" si="9"/>
        <v>18500124001.090004</v>
      </c>
      <c r="G125" s="167">
        <f t="shared" si="9"/>
        <v>21193892544.759987</v>
      </c>
      <c r="H125" s="168">
        <f t="shared" si="9"/>
        <v>100713182736.91</v>
      </c>
      <c r="I125" s="162">
        <f t="shared" si="9"/>
        <v>19795588250.03003</v>
      </c>
      <c r="J125" s="165">
        <f t="shared" si="9"/>
        <v>100713182736.91</v>
      </c>
      <c r="K125" s="316">
        <f>K123</f>
        <v>1295464248.9400082</v>
      </c>
      <c r="L125" s="317"/>
      <c r="N125" s="24"/>
    </row>
    <row r="126" spans="1:12" s="3" customFormat="1" ht="15.75" customHeight="1">
      <c r="A126" s="215" t="s">
        <v>82</v>
      </c>
      <c r="B126" s="169">
        <v>348245443</v>
      </c>
      <c r="C126" s="164">
        <v>0</v>
      </c>
      <c r="D126" s="183"/>
      <c r="E126" s="183"/>
      <c r="F126" s="167">
        <v>0</v>
      </c>
      <c r="G126" s="183"/>
      <c r="H126" s="183"/>
      <c r="I126" s="162">
        <v>0</v>
      </c>
      <c r="J126" s="183"/>
      <c r="K126" s="229"/>
      <c r="L126" s="238"/>
    </row>
    <row r="127" spans="1:12" ht="15.75">
      <c r="A127" s="49"/>
      <c r="B127" s="50"/>
      <c r="C127" s="50"/>
      <c r="D127" s="51"/>
      <c r="E127" s="184"/>
      <c r="F127" s="50"/>
      <c r="G127" s="52"/>
      <c r="H127" s="53"/>
      <c r="I127" s="53"/>
      <c r="J127" s="53"/>
      <c r="K127" s="53"/>
      <c r="L127" s="54" t="s">
        <v>91</v>
      </c>
    </row>
    <row r="128" spans="1:12" ht="15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1:12" ht="12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5.75">
      <c r="A130" s="34"/>
      <c r="B130" s="35"/>
      <c r="C130" s="35"/>
      <c r="D130" s="36"/>
      <c r="E130" s="36"/>
      <c r="F130" s="35"/>
      <c r="G130" s="37"/>
      <c r="H130" s="38"/>
      <c r="I130" s="38"/>
      <c r="J130" s="38"/>
      <c r="K130" s="38"/>
      <c r="L130" s="39"/>
    </row>
    <row r="131" spans="1:12" ht="15.75">
      <c r="A131" s="34"/>
      <c r="B131" s="35"/>
      <c r="C131" s="35"/>
      <c r="D131" s="36"/>
      <c r="E131" s="36"/>
      <c r="F131" s="35"/>
      <c r="G131" s="37"/>
      <c r="H131" s="38"/>
      <c r="I131" s="38"/>
      <c r="J131" s="38"/>
      <c r="K131" s="38"/>
      <c r="L131" s="54" t="s">
        <v>30</v>
      </c>
    </row>
    <row r="132" spans="1:12" ht="16.5">
      <c r="A132" s="220" t="str">
        <f>A6</f>
        <v>GOVERNO DO ESTADO DO RIO DE JANEIRO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</row>
    <row r="133" spans="1:12" ht="16.5">
      <c r="A133" s="219" t="str">
        <f>A7</f>
        <v>RELATÓRIO RESUMIDO DA EXECUÇÃO ORÇAMENTÁRIA</v>
      </c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</row>
    <row r="134" spans="1:12" ht="16.5">
      <c r="A134" s="239" t="str">
        <f>A8</f>
        <v>BALANÇO ORÇAMENTÁRIO</v>
      </c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</row>
    <row r="135" spans="1:12" ht="16.5">
      <c r="A135" s="220" t="str">
        <f>A9</f>
        <v>ORÇAMENTOS FISCAL E DA SEGURIDADE SOCIAL</v>
      </c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</row>
    <row r="136" spans="1:12" ht="16.5">
      <c r="A136" s="219" t="str">
        <f>A10</f>
        <v>JANEIRO A DEZEMBRO 2022/BIMESTRE NOVEMBRO-DEZEMBRO</v>
      </c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</row>
    <row r="137" spans="1:12" ht="16.5">
      <c r="A137" s="55"/>
      <c r="B137" s="56"/>
      <c r="C137" s="79"/>
      <c r="D137" s="79"/>
      <c r="E137" s="79"/>
      <c r="F137" s="79"/>
      <c r="G137" s="79"/>
      <c r="H137" s="79"/>
      <c r="I137" s="79"/>
      <c r="J137" s="79"/>
      <c r="K137" s="79"/>
      <c r="L137" s="79"/>
    </row>
    <row r="138" spans="1:12" ht="15.75">
      <c r="A138" s="57"/>
      <c r="B138" s="57"/>
      <c r="C138" s="78"/>
      <c r="D138" s="78"/>
      <c r="E138" s="78"/>
      <c r="F138" s="78"/>
      <c r="G138" s="78"/>
      <c r="H138" s="57"/>
      <c r="I138" s="58"/>
      <c r="J138" s="58"/>
      <c r="K138" s="58"/>
      <c r="L138" s="88" t="str">
        <f>L12</f>
        <v>Emissão: 25/01/2023</v>
      </c>
    </row>
    <row r="139" spans="1:12" ht="15.75">
      <c r="A139" s="59" t="str">
        <f>A13</f>
        <v>RREO - Anexo 1 (LRF, Art. 52, inciso I, alíneas "a" e "b" do inciso II e §1º)</v>
      </c>
      <c r="B139" s="60"/>
      <c r="C139" s="87"/>
      <c r="D139" s="87"/>
      <c r="E139" s="87"/>
      <c r="F139" s="87"/>
      <c r="G139" s="87"/>
      <c r="H139" s="87"/>
      <c r="I139" s="114"/>
      <c r="J139" s="61"/>
      <c r="K139" s="62"/>
      <c r="L139" s="61">
        <v>1</v>
      </c>
    </row>
    <row r="140" spans="1:12" ht="15.75">
      <c r="A140" s="272" t="s">
        <v>4</v>
      </c>
      <c r="B140" s="273"/>
      <c r="C140" s="248" t="s">
        <v>67</v>
      </c>
      <c r="D140" s="74" t="s">
        <v>81</v>
      </c>
      <c r="E140" s="251" t="s">
        <v>3</v>
      </c>
      <c r="F140" s="252"/>
      <c r="G140" s="252"/>
      <c r="H140" s="252"/>
      <c r="I140" s="253"/>
      <c r="J140" s="240" t="s">
        <v>68</v>
      </c>
      <c r="K140" s="241"/>
      <c r="L140" s="241"/>
    </row>
    <row r="141" spans="1:12" ht="15.75">
      <c r="A141" s="274"/>
      <c r="B141" s="275"/>
      <c r="C141" s="249"/>
      <c r="D141" s="75" t="s">
        <v>6</v>
      </c>
      <c r="E141" s="74" t="s">
        <v>7</v>
      </c>
      <c r="F141" s="76" t="s">
        <v>8</v>
      </c>
      <c r="G141" s="240" t="s">
        <v>9</v>
      </c>
      <c r="H141" s="279"/>
      <c r="I141" s="76" t="s">
        <v>8</v>
      </c>
      <c r="J141" s="254"/>
      <c r="K141" s="255"/>
      <c r="L141" s="255"/>
    </row>
    <row r="142" spans="1:12" ht="15.75">
      <c r="A142" s="276"/>
      <c r="B142" s="277"/>
      <c r="C142" s="250"/>
      <c r="D142" s="77" t="s">
        <v>10</v>
      </c>
      <c r="E142" s="77" t="s">
        <v>11</v>
      </c>
      <c r="F142" s="77" t="s">
        <v>12</v>
      </c>
      <c r="G142" s="256" t="s">
        <v>69</v>
      </c>
      <c r="H142" s="257"/>
      <c r="I142" s="77" t="s">
        <v>13</v>
      </c>
      <c r="J142" s="256" t="s">
        <v>14</v>
      </c>
      <c r="K142" s="258"/>
      <c r="L142" s="258"/>
    </row>
    <row r="143" spans="1:12" ht="15.75">
      <c r="A143" s="268" t="s">
        <v>52</v>
      </c>
      <c r="B143" s="269"/>
      <c r="C143" s="121">
        <f>C144+C184</f>
        <v>5479454544</v>
      </c>
      <c r="D143" s="122">
        <f>D144+D184</f>
        <v>5779422343.009999</v>
      </c>
      <c r="E143" s="123">
        <f>E144+E184</f>
        <v>1701261759.1000004</v>
      </c>
      <c r="F143" s="14">
        <f>(E143/D143)*100</f>
        <v>29.436536354842012</v>
      </c>
      <c r="G143" s="103"/>
      <c r="H143" s="152">
        <f>H144+H184</f>
        <v>6357850922.74</v>
      </c>
      <c r="I143" s="14">
        <f>(H143/D143)*100</f>
        <v>110.00841512179133</v>
      </c>
      <c r="J143" s="270">
        <f aca="true" t="shared" si="10" ref="J143:J174">D143-H143</f>
        <v>-578428579.7300005</v>
      </c>
      <c r="K143" s="271"/>
      <c r="L143" s="271"/>
    </row>
    <row r="144" spans="1:12" ht="15.75">
      <c r="A144" s="278" t="s">
        <v>31</v>
      </c>
      <c r="B144" s="278"/>
      <c r="C144" s="124">
        <f>C145+C149+C154+C162+C163+C164+C170+C178</f>
        <v>5479454544</v>
      </c>
      <c r="D144" s="125">
        <f>D145+D149+D154+D162+D163+D164+D170+D178</f>
        <v>5779312314.82</v>
      </c>
      <c r="E144" s="123">
        <f>E145+E149+E154+E162+E163+E164+E170+E178</f>
        <v>1701253576.7100003</v>
      </c>
      <c r="F144" s="17">
        <f>(E144/D144)*100</f>
        <v>29.436955195299685</v>
      </c>
      <c r="G144" s="104"/>
      <c r="H144" s="153">
        <f>H145+H149+H154+H162+H163+H164+H170+H178</f>
        <v>6357745471.78</v>
      </c>
      <c r="I144" s="17">
        <f>(H144/D144)*100</f>
        <v>110.00868486509567</v>
      </c>
      <c r="J144" s="280">
        <f t="shared" si="10"/>
        <v>-578433156.96</v>
      </c>
      <c r="K144" s="281"/>
      <c r="L144" s="281"/>
    </row>
    <row r="145" spans="1:12" ht="15.75">
      <c r="A145" s="226" t="s">
        <v>128</v>
      </c>
      <c r="B145" s="226"/>
      <c r="C145" s="19">
        <f>C146+C147+C148</f>
        <v>0</v>
      </c>
      <c r="D145" s="20">
        <f>D146+D147+D148</f>
        <v>0</v>
      </c>
      <c r="E145" s="21">
        <f>E146+E147+E148</f>
        <v>0</v>
      </c>
      <c r="F145" s="22">
        <v>0</v>
      </c>
      <c r="G145" s="101"/>
      <c r="H145" s="102">
        <f>H146+H147+H148</f>
        <v>0</v>
      </c>
      <c r="I145" s="22">
        <v>0</v>
      </c>
      <c r="J145" s="224">
        <f t="shared" si="10"/>
        <v>0</v>
      </c>
      <c r="K145" s="225"/>
      <c r="L145" s="225"/>
    </row>
    <row r="146" spans="1:12" ht="15.75">
      <c r="A146" s="226" t="s">
        <v>32</v>
      </c>
      <c r="B146" s="226"/>
      <c r="C146" s="19">
        <v>0</v>
      </c>
      <c r="D146" s="20">
        <v>0</v>
      </c>
      <c r="E146" s="21">
        <f>H146</f>
        <v>0</v>
      </c>
      <c r="F146" s="22">
        <v>0</v>
      </c>
      <c r="G146" s="101"/>
      <c r="H146" s="102">
        <v>0</v>
      </c>
      <c r="I146" s="22">
        <v>0</v>
      </c>
      <c r="J146" s="224">
        <f t="shared" si="10"/>
        <v>0</v>
      </c>
      <c r="K146" s="225"/>
      <c r="L146" s="225"/>
    </row>
    <row r="147" spans="1:12" ht="15.75">
      <c r="A147" s="226" t="s">
        <v>33</v>
      </c>
      <c r="B147" s="226"/>
      <c r="C147" s="19">
        <v>0</v>
      </c>
      <c r="D147" s="20">
        <v>0</v>
      </c>
      <c r="E147" s="21">
        <f>H147</f>
        <v>0</v>
      </c>
      <c r="F147" s="22">
        <v>0</v>
      </c>
      <c r="G147" s="101"/>
      <c r="H147" s="102">
        <v>0</v>
      </c>
      <c r="I147" s="22">
        <v>0</v>
      </c>
      <c r="J147" s="224">
        <f t="shared" si="10"/>
        <v>0</v>
      </c>
      <c r="K147" s="225"/>
      <c r="L147" s="225"/>
    </row>
    <row r="148" spans="1:12" ht="15.75">
      <c r="A148" s="318" t="s">
        <v>129</v>
      </c>
      <c r="B148" s="318"/>
      <c r="C148" s="27">
        <v>0</v>
      </c>
      <c r="D148" s="20">
        <v>0</v>
      </c>
      <c r="E148" s="21">
        <f>H148</f>
        <v>0</v>
      </c>
      <c r="F148" s="22">
        <v>0</v>
      </c>
      <c r="G148" s="101"/>
      <c r="H148" s="102">
        <v>0</v>
      </c>
      <c r="I148" s="22">
        <v>0</v>
      </c>
      <c r="J148" s="224">
        <f t="shared" si="10"/>
        <v>0</v>
      </c>
      <c r="K148" s="225"/>
      <c r="L148" s="225"/>
    </row>
    <row r="149" spans="1:12" ht="15.75">
      <c r="A149" s="226" t="s">
        <v>141</v>
      </c>
      <c r="B149" s="226"/>
      <c r="C149" s="120">
        <f>C151+C150+C152+C153</f>
        <v>3117957389</v>
      </c>
      <c r="D149" s="126">
        <f>D151+D150+D152+D153</f>
        <v>3117957389</v>
      </c>
      <c r="E149" s="127">
        <f>E151+E150+E152+E153</f>
        <v>805517167.7000003</v>
      </c>
      <c r="F149" s="22">
        <f>(E149/D149)*100</f>
        <v>25.834771525160193</v>
      </c>
      <c r="G149" s="101"/>
      <c r="H149" s="141">
        <f>H150+H151+H152+H153</f>
        <v>3425863585.8</v>
      </c>
      <c r="I149" s="22">
        <f>(H149/D149)*100</f>
        <v>109.875253519701</v>
      </c>
      <c r="J149" s="227">
        <f t="shared" si="10"/>
        <v>-307906196.8000002</v>
      </c>
      <c r="K149" s="228"/>
      <c r="L149" s="228"/>
    </row>
    <row r="150" spans="1:12" ht="15.75">
      <c r="A150" s="226" t="s">
        <v>35</v>
      </c>
      <c r="B150" s="226"/>
      <c r="C150" s="120">
        <v>3117957389</v>
      </c>
      <c r="D150" s="126">
        <v>3117957389</v>
      </c>
      <c r="E150" s="127">
        <f>H150-2620346418.1</f>
        <v>805517167.7000003</v>
      </c>
      <c r="F150" s="22">
        <f>(E150/D150)*100</f>
        <v>25.834771525160193</v>
      </c>
      <c r="G150" s="101"/>
      <c r="H150" s="141">
        <v>3425863585.8</v>
      </c>
      <c r="I150" s="22">
        <f>(H150/D150)*100</f>
        <v>109.875253519701</v>
      </c>
      <c r="J150" s="227">
        <f t="shared" si="10"/>
        <v>-307906196.8000002</v>
      </c>
      <c r="K150" s="228"/>
      <c r="L150" s="228"/>
    </row>
    <row r="151" spans="1:12" ht="15.75">
      <c r="A151" s="226" t="s">
        <v>90</v>
      </c>
      <c r="B151" s="226"/>
      <c r="C151" s="19">
        <v>0</v>
      </c>
      <c r="D151" s="20">
        <v>0</v>
      </c>
      <c r="E151" s="21">
        <f>H151</f>
        <v>0</v>
      </c>
      <c r="F151" s="22">
        <v>0</v>
      </c>
      <c r="G151" s="101"/>
      <c r="H151" s="102">
        <v>0</v>
      </c>
      <c r="I151" s="22">
        <v>0</v>
      </c>
      <c r="J151" s="224">
        <f t="shared" si="10"/>
        <v>0</v>
      </c>
      <c r="K151" s="225"/>
      <c r="L151" s="225"/>
    </row>
    <row r="152" spans="1:12" ht="15.75">
      <c r="A152" s="226" t="s">
        <v>108</v>
      </c>
      <c r="B152" s="226"/>
      <c r="C152" s="19">
        <v>0</v>
      </c>
      <c r="D152" s="20">
        <v>0</v>
      </c>
      <c r="E152" s="21">
        <f>H152</f>
        <v>0</v>
      </c>
      <c r="F152" s="22">
        <v>0</v>
      </c>
      <c r="G152" s="101"/>
      <c r="H152" s="102">
        <v>0</v>
      </c>
      <c r="I152" s="22">
        <v>0</v>
      </c>
      <c r="J152" s="259">
        <f t="shared" si="10"/>
        <v>0</v>
      </c>
      <c r="K152" s="260"/>
      <c r="L152" s="260"/>
    </row>
    <row r="153" spans="1:12" ht="15.75">
      <c r="A153" s="226" t="s">
        <v>109</v>
      </c>
      <c r="B153" s="226"/>
      <c r="C153" s="19">
        <v>0</v>
      </c>
      <c r="D153" s="20">
        <v>0</v>
      </c>
      <c r="E153" s="21">
        <f>H153</f>
        <v>0</v>
      </c>
      <c r="F153" s="22">
        <v>0</v>
      </c>
      <c r="G153" s="101"/>
      <c r="H153" s="102">
        <v>0</v>
      </c>
      <c r="I153" s="22">
        <v>0</v>
      </c>
      <c r="J153" s="259">
        <f t="shared" si="10"/>
        <v>0</v>
      </c>
      <c r="K153" s="260"/>
      <c r="L153" s="260"/>
    </row>
    <row r="154" spans="1:12" ht="15.75">
      <c r="A154" s="226" t="s">
        <v>36</v>
      </c>
      <c r="B154" s="226"/>
      <c r="C154" s="120">
        <f>SUM(C155:C161)</f>
        <v>14838478</v>
      </c>
      <c r="D154" s="126">
        <f>SUM(D155:D161)</f>
        <v>14838478</v>
      </c>
      <c r="E154" s="127">
        <f>SUM(E155:E161)</f>
        <v>3444269.0600000024</v>
      </c>
      <c r="F154" s="22">
        <f>(E154/D154)*100</f>
        <v>23.21174085374526</v>
      </c>
      <c r="G154" s="101"/>
      <c r="H154" s="141">
        <f>SUM(H155:H161)</f>
        <v>17749577.770000003</v>
      </c>
      <c r="I154" s="22">
        <f>(H154/D154)*100</f>
        <v>119.61858736455318</v>
      </c>
      <c r="J154" s="227">
        <f t="shared" si="10"/>
        <v>-2911099.7700000033</v>
      </c>
      <c r="K154" s="228"/>
      <c r="L154" s="228"/>
    </row>
    <row r="155" spans="1:12" ht="15.75">
      <c r="A155" s="226" t="s">
        <v>110</v>
      </c>
      <c r="B155" s="226"/>
      <c r="C155" s="120">
        <v>14838478</v>
      </c>
      <c r="D155" s="126">
        <v>14838478</v>
      </c>
      <c r="E155" s="127">
        <f>H155-14305230.45</f>
        <v>3444269.0600000024</v>
      </c>
      <c r="F155" s="22">
        <f>(E155/D155)*100</f>
        <v>23.21174085374526</v>
      </c>
      <c r="G155" s="101"/>
      <c r="H155" s="141">
        <v>17749499.51</v>
      </c>
      <c r="I155" s="22">
        <f>(H155/D155)*100</f>
        <v>119.61805995197084</v>
      </c>
      <c r="J155" s="227">
        <f t="shared" si="10"/>
        <v>-2911021.5100000016</v>
      </c>
      <c r="K155" s="228"/>
      <c r="L155" s="228"/>
    </row>
    <row r="156" spans="1:12" ht="15.75">
      <c r="A156" s="226" t="s">
        <v>111</v>
      </c>
      <c r="B156" s="226"/>
      <c r="C156" s="19">
        <v>0</v>
      </c>
      <c r="D156" s="20">
        <v>0</v>
      </c>
      <c r="E156" s="21">
        <f aca="true" t="shared" si="11" ref="E156:E163">H156</f>
        <v>0</v>
      </c>
      <c r="F156" s="22">
        <v>0</v>
      </c>
      <c r="G156" s="101"/>
      <c r="H156" s="102">
        <v>0</v>
      </c>
      <c r="I156" s="22">
        <v>0</v>
      </c>
      <c r="J156" s="224">
        <f t="shared" si="10"/>
        <v>0</v>
      </c>
      <c r="K156" s="225"/>
      <c r="L156" s="225"/>
    </row>
    <row r="157" spans="1:12" ht="15.75">
      <c r="A157" s="226" t="s">
        <v>114</v>
      </c>
      <c r="B157" s="226"/>
      <c r="C157" s="19">
        <v>0</v>
      </c>
      <c r="D157" s="20">
        <v>0</v>
      </c>
      <c r="E157" s="21">
        <f t="shared" si="11"/>
        <v>0</v>
      </c>
      <c r="F157" s="22">
        <v>0</v>
      </c>
      <c r="G157" s="101"/>
      <c r="H157" s="102">
        <v>0</v>
      </c>
      <c r="I157" s="22">
        <v>0</v>
      </c>
      <c r="J157" s="224">
        <f t="shared" si="10"/>
        <v>0</v>
      </c>
      <c r="K157" s="225"/>
      <c r="L157" s="225"/>
    </row>
    <row r="158" spans="1:12" ht="15.75">
      <c r="A158" s="226" t="s">
        <v>112</v>
      </c>
      <c r="B158" s="226"/>
      <c r="C158" s="19">
        <v>0</v>
      </c>
      <c r="D158" s="20">
        <v>0</v>
      </c>
      <c r="E158" s="21">
        <f>H158-78.26</f>
        <v>0</v>
      </c>
      <c r="F158" s="22">
        <v>0</v>
      </c>
      <c r="G158" s="101"/>
      <c r="H158" s="102">
        <v>78.26</v>
      </c>
      <c r="I158" s="22">
        <v>0</v>
      </c>
      <c r="J158" s="224">
        <f t="shared" si="10"/>
        <v>-78.26</v>
      </c>
      <c r="K158" s="225"/>
      <c r="L158" s="225"/>
    </row>
    <row r="159" spans="1:12" ht="15" customHeight="1">
      <c r="A159" s="226" t="s">
        <v>113</v>
      </c>
      <c r="B159" s="226"/>
      <c r="C159" s="19">
        <v>0</v>
      </c>
      <c r="D159" s="20">
        <v>0</v>
      </c>
      <c r="E159" s="21">
        <f t="shared" si="11"/>
        <v>0</v>
      </c>
      <c r="F159" s="22">
        <v>0</v>
      </c>
      <c r="G159" s="101"/>
      <c r="H159" s="102">
        <v>0</v>
      </c>
      <c r="I159" s="22">
        <v>0</v>
      </c>
      <c r="J159" s="224">
        <f t="shared" si="10"/>
        <v>0</v>
      </c>
      <c r="K159" s="225"/>
      <c r="L159" s="225"/>
    </row>
    <row r="160" spans="1:12" ht="15.75">
      <c r="A160" s="226" t="s">
        <v>116</v>
      </c>
      <c r="B160" s="226"/>
      <c r="C160" s="19">
        <v>0</v>
      </c>
      <c r="D160" s="20">
        <v>0</v>
      </c>
      <c r="E160" s="21">
        <f t="shared" si="11"/>
        <v>0</v>
      </c>
      <c r="F160" s="22">
        <v>0</v>
      </c>
      <c r="G160" s="101"/>
      <c r="H160" s="102">
        <v>0</v>
      </c>
      <c r="I160" s="22">
        <v>0</v>
      </c>
      <c r="J160" s="224">
        <f t="shared" si="10"/>
        <v>0</v>
      </c>
      <c r="K160" s="225"/>
      <c r="L160" s="225"/>
    </row>
    <row r="161" spans="1:12" ht="15.75">
      <c r="A161" s="226" t="s">
        <v>115</v>
      </c>
      <c r="B161" s="226"/>
      <c r="C161" s="19">
        <v>0</v>
      </c>
      <c r="D161" s="20">
        <v>0</v>
      </c>
      <c r="E161" s="21">
        <f t="shared" si="11"/>
        <v>0</v>
      </c>
      <c r="F161" s="22">
        <v>0</v>
      </c>
      <c r="G161" s="101"/>
      <c r="H161" s="102">
        <v>0</v>
      </c>
      <c r="I161" s="22">
        <v>0</v>
      </c>
      <c r="J161" s="224">
        <f t="shared" si="10"/>
        <v>0</v>
      </c>
      <c r="K161" s="225"/>
      <c r="L161" s="225"/>
    </row>
    <row r="162" spans="1:12" ht="15.75">
      <c r="A162" s="226" t="s">
        <v>37</v>
      </c>
      <c r="B162" s="226"/>
      <c r="C162" s="19">
        <v>0</v>
      </c>
      <c r="D162" s="20">
        <v>0</v>
      </c>
      <c r="E162" s="21">
        <f t="shared" si="11"/>
        <v>0</v>
      </c>
      <c r="F162" s="22">
        <v>0</v>
      </c>
      <c r="G162" s="101"/>
      <c r="H162" s="102">
        <v>0</v>
      </c>
      <c r="I162" s="22">
        <v>0</v>
      </c>
      <c r="J162" s="224">
        <f t="shared" si="10"/>
        <v>0</v>
      </c>
      <c r="K162" s="225"/>
      <c r="L162" s="225"/>
    </row>
    <row r="163" spans="1:12" ht="15.75">
      <c r="A163" s="226" t="s">
        <v>38</v>
      </c>
      <c r="B163" s="226"/>
      <c r="C163" s="19">
        <v>0</v>
      </c>
      <c r="D163" s="20">
        <v>0</v>
      </c>
      <c r="E163" s="21">
        <f t="shared" si="11"/>
        <v>0</v>
      </c>
      <c r="F163" s="22">
        <v>0</v>
      </c>
      <c r="G163" s="101"/>
      <c r="H163" s="102">
        <v>0</v>
      </c>
      <c r="I163" s="22">
        <v>0</v>
      </c>
      <c r="J163" s="224">
        <f t="shared" si="10"/>
        <v>0</v>
      </c>
      <c r="K163" s="225"/>
      <c r="L163" s="225"/>
    </row>
    <row r="164" spans="1:12" ht="15.75">
      <c r="A164" s="226" t="s">
        <v>39</v>
      </c>
      <c r="B164" s="226"/>
      <c r="C164" s="120">
        <f>SUM(C165:C169)</f>
        <v>1517539893</v>
      </c>
      <c r="D164" s="126">
        <f>SUM(D165:D169)</f>
        <v>1517539893</v>
      </c>
      <c r="E164" s="127">
        <f>SUM(E165:E169)</f>
        <v>548489002.72</v>
      </c>
      <c r="F164" s="22">
        <f>(E164/D164)*100</f>
        <v>36.14330043315705</v>
      </c>
      <c r="G164" s="101"/>
      <c r="H164" s="141">
        <f>SUM(H165:H169)</f>
        <v>1934062323</v>
      </c>
      <c r="I164" s="22">
        <f>(H164/D164)*100</f>
        <v>127.44721452933825</v>
      </c>
      <c r="J164" s="227">
        <f t="shared" si="10"/>
        <v>-416522430</v>
      </c>
      <c r="K164" s="228"/>
      <c r="L164" s="228"/>
    </row>
    <row r="165" spans="1:12" ht="15.75">
      <c r="A165" s="226" t="s">
        <v>103</v>
      </c>
      <c r="B165" s="226"/>
      <c r="C165" s="120">
        <v>323832</v>
      </c>
      <c r="D165" s="126">
        <v>323832</v>
      </c>
      <c r="E165" s="127">
        <f>H165-8041807.63</f>
        <v>1678267.2999999998</v>
      </c>
      <c r="F165" s="22">
        <f>(E165/D165)*100</f>
        <v>518.2524580646755</v>
      </c>
      <c r="G165" s="101"/>
      <c r="H165" s="141">
        <v>9720074.93</v>
      </c>
      <c r="I165" s="22">
        <f>(H165/D165)*100</f>
        <v>3001.5795010993356</v>
      </c>
      <c r="J165" s="227">
        <f t="shared" si="10"/>
        <v>-9396242.93</v>
      </c>
      <c r="K165" s="228"/>
      <c r="L165" s="228"/>
    </row>
    <row r="166" spans="1:12" ht="15.75">
      <c r="A166" s="226" t="s">
        <v>104</v>
      </c>
      <c r="B166" s="226"/>
      <c r="C166" s="19">
        <v>0</v>
      </c>
      <c r="D166" s="20">
        <v>0</v>
      </c>
      <c r="E166" s="21">
        <f>H166</f>
        <v>0</v>
      </c>
      <c r="F166" s="22">
        <v>0</v>
      </c>
      <c r="G166" s="101"/>
      <c r="H166" s="102">
        <v>0</v>
      </c>
      <c r="I166" s="22">
        <v>0</v>
      </c>
      <c r="J166" s="259">
        <f t="shared" si="10"/>
        <v>0</v>
      </c>
      <c r="K166" s="260"/>
      <c r="L166" s="260"/>
    </row>
    <row r="167" spans="1:12" ht="15.75">
      <c r="A167" s="226" t="s">
        <v>105</v>
      </c>
      <c r="B167" s="226"/>
      <c r="C167" s="120">
        <v>0</v>
      </c>
      <c r="D167" s="126">
        <v>0</v>
      </c>
      <c r="E167" s="127">
        <f>H167-1263152998.77</f>
        <v>528728187.23</v>
      </c>
      <c r="F167" s="22" t="e">
        <f>(E167/D167)*100</f>
        <v>#DIV/0!</v>
      </c>
      <c r="G167" s="101"/>
      <c r="H167" s="141">
        <v>1791881186</v>
      </c>
      <c r="I167" s="22" t="e">
        <f>(H167/D167)*100</f>
        <v>#DIV/0!</v>
      </c>
      <c r="J167" s="217">
        <f t="shared" si="10"/>
        <v>-1791881186</v>
      </c>
      <c r="K167" s="218"/>
      <c r="L167" s="218"/>
    </row>
    <row r="168" spans="1:12" ht="15.75">
      <c r="A168" s="226" t="s">
        <v>106</v>
      </c>
      <c r="B168" s="226"/>
      <c r="C168" s="19">
        <v>0</v>
      </c>
      <c r="D168" s="20">
        <v>0</v>
      </c>
      <c r="E168" s="21">
        <f>H168</f>
        <v>0</v>
      </c>
      <c r="F168" s="22">
        <v>0</v>
      </c>
      <c r="G168" s="101"/>
      <c r="H168" s="102">
        <v>0</v>
      </c>
      <c r="I168" s="22">
        <v>0</v>
      </c>
      <c r="J168" s="259">
        <f t="shared" si="10"/>
        <v>0</v>
      </c>
      <c r="K168" s="260"/>
      <c r="L168" s="260"/>
    </row>
    <row r="169" spans="1:12" ht="15.75">
      <c r="A169" s="226" t="s">
        <v>107</v>
      </c>
      <c r="B169" s="226"/>
      <c r="C169" s="120">
        <v>1517216061</v>
      </c>
      <c r="D169" s="126">
        <v>1517216061</v>
      </c>
      <c r="E169" s="127">
        <f>H169-114378513.88</f>
        <v>18082548.189999998</v>
      </c>
      <c r="F169" s="22">
        <f>(E169/D169)*100</f>
        <v>1.1918242005744228</v>
      </c>
      <c r="G169" s="101"/>
      <c r="H169" s="141">
        <v>132461062.07</v>
      </c>
      <c r="I169" s="22">
        <f>(H169/D169)*100</f>
        <v>8.730533868900297</v>
      </c>
      <c r="J169" s="217">
        <f t="shared" si="10"/>
        <v>1384754998.93</v>
      </c>
      <c r="K169" s="218"/>
      <c r="L169" s="218"/>
    </row>
    <row r="170" spans="1:12" ht="15.75">
      <c r="A170" s="226" t="s">
        <v>40</v>
      </c>
      <c r="B170" s="226"/>
      <c r="C170" s="120">
        <f>SUM(C171:C177)</f>
        <v>118554828</v>
      </c>
      <c r="D170" s="126">
        <f>SUM(D171:D177)</f>
        <v>118554828</v>
      </c>
      <c r="E170" s="127">
        <f>SUM(E171:E177)</f>
        <v>0</v>
      </c>
      <c r="F170" s="22">
        <f>(E170/D170)*100</f>
        <v>0</v>
      </c>
      <c r="G170" s="101"/>
      <c r="H170" s="179">
        <f>SUM(H171:H177)</f>
        <v>0</v>
      </c>
      <c r="I170" s="22">
        <f>(H170/D170)*100</f>
        <v>0</v>
      </c>
      <c r="J170" s="227">
        <f t="shared" si="10"/>
        <v>118554828</v>
      </c>
      <c r="K170" s="228"/>
      <c r="L170" s="228"/>
    </row>
    <row r="171" spans="1:12" ht="15.75">
      <c r="A171" s="226" t="s">
        <v>98</v>
      </c>
      <c r="B171" s="226"/>
      <c r="C171" s="19">
        <v>0</v>
      </c>
      <c r="D171" s="20">
        <v>0</v>
      </c>
      <c r="E171" s="21">
        <f aca="true" t="shared" si="12" ref="E171:E177">H171</f>
        <v>0</v>
      </c>
      <c r="F171" s="22">
        <v>0</v>
      </c>
      <c r="G171" s="101"/>
      <c r="H171" s="102">
        <v>0</v>
      </c>
      <c r="I171" s="22">
        <v>0</v>
      </c>
      <c r="J171" s="224">
        <f t="shared" si="10"/>
        <v>0</v>
      </c>
      <c r="K171" s="225"/>
      <c r="L171" s="225"/>
    </row>
    <row r="172" spans="1:12" ht="15.75">
      <c r="A172" s="226" t="s">
        <v>99</v>
      </c>
      <c r="B172" s="226"/>
      <c r="C172" s="120">
        <v>118554828</v>
      </c>
      <c r="D172" s="126">
        <v>118554828</v>
      </c>
      <c r="E172" s="127">
        <f>H172-0</f>
        <v>0</v>
      </c>
      <c r="F172" s="22">
        <f>(E172/D172)*100</f>
        <v>0</v>
      </c>
      <c r="G172" s="101"/>
      <c r="H172" s="141">
        <v>0</v>
      </c>
      <c r="I172" s="22">
        <f>(H172/D172)*100</f>
        <v>0</v>
      </c>
      <c r="J172" s="227">
        <f t="shared" si="10"/>
        <v>118554828</v>
      </c>
      <c r="K172" s="228"/>
      <c r="L172" s="228"/>
    </row>
    <row r="173" spans="1:12" ht="15.75">
      <c r="A173" s="226" t="s">
        <v>100</v>
      </c>
      <c r="B173" s="226"/>
      <c r="C173" s="19">
        <v>0</v>
      </c>
      <c r="D173" s="20">
        <v>0</v>
      </c>
      <c r="E173" s="21">
        <f t="shared" si="12"/>
        <v>0</v>
      </c>
      <c r="F173" s="22">
        <v>0</v>
      </c>
      <c r="G173" s="101"/>
      <c r="H173" s="102">
        <v>0</v>
      </c>
      <c r="I173" s="22">
        <v>0</v>
      </c>
      <c r="J173" s="224">
        <f t="shared" si="10"/>
        <v>0</v>
      </c>
      <c r="K173" s="225"/>
      <c r="L173" s="225"/>
    </row>
    <row r="174" spans="1:12" ht="15.75">
      <c r="A174" s="226" t="s">
        <v>41</v>
      </c>
      <c r="B174" s="226"/>
      <c r="C174" s="19">
        <v>0</v>
      </c>
      <c r="D174" s="20">
        <v>0</v>
      </c>
      <c r="E174" s="21">
        <f t="shared" si="12"/>
        <v>0</v>
      </c>
      <c r="F174" s="22">
        <v>0</v>
      </c>
      <c r="G174" s="101"/>
      <c r="H174" s="102">
        <v>0</v>
      </c>
      <c r="I174" s="22">
        <v>0</v>
      </c>
      <c r="J174" s="224">
        <f t="shared" si="10"/>
        <v>0</v>
      </c>
      <c r="K174" s="225"/>
      <c r="L174" s="225"/>
    </row>
    <row r="175" spans="1:12" ht="15.75">
      <c r="A175" s="226" t="s">
        <v>83</v>
      </c>
      <c r="B175" s="226"/>
      <c r="C175" s="19">
        <v>0</v>
      </c>
      <c r="D175" s="20">
        <v>0</v>
      </c>
      <c r="E175" s="21">
        <f t="shared" si="12"/>
        <v>0</v>
      </c>
      <c r="F175" s="22">
        <v>0</v>
      </c>
      <c r="G175" s="101"/>
      <c r="H175" s="102">
        <v>0</v>
      </c>
      <c r="I175" s="22">
        <v>0</v>
      </c>
      <c r="J175" s="224">
        <f aca="true" t="shared" si="13" ref="J175:J206">D175-H175</f>
        <v>0</v>
      </c>
      <c r="K175" s="225"/>
      <c r="L175" s="225"/>
    </row>
    <row r="176" spans="1:12" ht="15.75">
      <c r="A176" s="226" t="s">
        <v>42</v>
      </c>
      <c r="B176" s="226"/>
      <c r="C176" s="19">
        <v>0</v>
      </c>
      <c r="D176" s="20">
        <v>0</v>
      </c>
      <c r="E176" s="21">
        <f t="shared" si="12"/>
        <v>0</v>
      </c>
      <c r="F176" s="22">
        <v>0</v>
      </c>
      <c r="G176" s="101"/>
      <c r="H176" s="102">
        <v>0</v>
      </c>
      <c r="I176" s="22">
        <v>0</v>
      </c>
      <c r="J176" s="259">
        <f t="shared" si="13"/>
        <v>0</v>
      </c>
      <c r="K176" s="260"/>
      <c r="L176" s="260"/>
    </row>
    <row r="177" spans="1:12" ht="15.75">
      <c r="A177" s="226" t="s">
        <v>151</v>
      </c>
      <c r="B177" s="226"/>
      <c r="C177" s="19">
        <v>0</v>
      </c>
      <c r="D177" s="20">
        <v>0</v>
      </c>
      <c r="E177" s="21">
        <f t="shared" si="12"/>
        <v>0</v>
      </c>
      <c r="F177" s="22">
        <v>0</v>
      </c>
      <c r="G177" s="101"/>
      <c r="H177" s="102">
        <v>0</v>
      </c>
      <c r="I177" s="22">
        <v>0</v>
      </c>
      <c r="J177" s="259">
        <f t="shared" si="13"/>
        <v>0</v>
      </c>
      <c r="K177" s="260"/>
      <c r="L177" s="260"/>
    </row>
    <row r="178" spans="1:12" ht="15.75">
      <c r="A178" s="226" t="s">
        <v>43</v>
      </c>
      <c r="B178" s="226"/>
      <c r="C178" s="120">
        <f>SUM(C179:C183)</f>
        <v>710563956</v>
      </c>
      <c r="D178" s="126">
        <f>SUM(D179:D183)</f>
        <v>1010421726.82</v>
      </c>
      <c r="E178" s="127">
        <f>SUM(E179:E183)</f>
        <v>343803137.23</v>
      </c>
      <c r="F178" s="22">
        <f>(E178/D178)*100</f>
        <v>34.0257070987594</v>
      </c>
      <c r="G178" s="105"/>
      <c r="H178" s="144">
        <f>SUM(H179:H183)</f>
        <v>980069985.21</v>
      </c>
      <c r="I178" s="22">
        <f>(H178/D178)*100</f>
        <v>96.99613133760266</v>
      </c>
      <c r="J178" s="227">
        <f t="shared" si="13"/>
        <v>30351741.610000014</v>
      </c>
      <c r="K178" s="228"/>
      <c r="L178" s="228"/>
    </row>
    <row r="179" spans="1:12" ht="15.75">
      <c r="A179" s="226" t="s">
        <v>94</v>
      </c>
      <c r="B179" s="226"/>
      <c r="C179" s="19">
        <v>0</v>
      </c>
      <c r="D179" s="20">
        <v>0</v>
      </c>
      <c r="E179" s="127">
        <f>H179-2207628.11</f>
        <v>269826.86000000034</v>
      </c>
      <c r="F179" s="22">
        <v>0</v>
      </c>
      <c r="G179" s="101"/>
      <c r="H179" s="151">
        <v>2477454.97</v>
      </c>
      <c r="I179" s="22">
        <v>0</v>
      </c>
      <c r="J179" s="227">
        <f t="shared" si="13"/>
        <v>-2477454.97</v>
      </c>
      <c r="K179" s="228"/>
      <c r="L179" s="228"/>
    </row>
    <row r="180" spans="1:12" ht="15.75">
      <c r="A180" s="226" t="s">
        <v>95</v>
      </c>
      <c r="B180" s="226"/>
      <c r="C180" s="120">
        <v>707772130</v>
      </c>
      <c r="D180" s="126">
        <v>1007629900.82</v>
      </c>
      <c r="E180" s="127">
        <f>H180-634059219.87</f>
        <v>343533310.37</v>
      </c>
      <c r="F180" s="22">
        <f>(E180/D180)*100</f>
        <v>34.09320327735766</v>
      </c>
      <c r="G180" s="105"/>
      <c r="H180" s="144">
        <v>977592530.24</v>
      </c>
      <c r="I180" s="22">
        <f>(H180/D180)*100</f>
        <v>97.01900761821817</v>
      </c>
      <c r="J180" s="227">
        <f t="shared" si="13"/>
        <v>30037370.580000043</v>
      </c>
      <c r="K180" s="228"/>
      <c r="L180" s="228"/>
    </row>
    <row r="181" spans="1:12" ht="15.75">
      <c r="A181" s="226" t="s">
        <v>96</v>
      </c>
      <c r="B181" s="226"/>
      <c r="C181" s="19">
        <v>0</v>
      </c>
      <c r="D181" s="25">
        <v>0</v>
      </c>
      <c r="E181" s="21">
        <f>H181</f>
        <v>0</v>
      </c>
      <c r="F181" s="22">
        <v>0</v>
      </c>
      <c r="G181" s="101"/>
      <c r="H181" s="102">
        <v>0</v>
      </c>
      <c r="I181" s="22">
        <v>0</v>
      </c>
      <c r="J181" s="224">
        <f t="shared" si="13"/>
        <v>0</v>
      </c>
      <c r="K181" s="225"/>
      <c r="L181" s="225"/>
    </row>
    <row r="182" spans="1:12" ht="15.75">
      <c r="A182" s="226" t="s">
        <v>156</v>
      </c>
      <c r="B182" s="226"/>
      <c r="C182" s="27"/>
      <c r="D182" s="203"/>
      <c r="E182" s="21"/>
      <c r="F182" s="22"/>
      <c r="G182" s="101"/>
      <c r="H182" s="102">
        <v>0</v>
      </c>
      <c r="I182" s="22"/>
      <c r="J182" s="197"/>
      <c r="K182" s="198"/>
      <c r="L182" s="198"/>
    </row>
    <row r="183" spans="1:12" ht="15" customHeight="1">
      <c r="A183" s="226" t="s">
        <v>97</v>
      </c>
      <c r="B183" s="226"/>
      <c r="C183" s="120">
        <v>2791826</v>
      </c>
      <c r="D183" s="120">
        <v>2791826</v>
      </c>
      <c r="E183" s="21">
        <f>H183-0</f>
        <v>0</v>
      </c>
      <c r="F183" s="22">
        <f>(E183/D183)*100</f>
        <v>0</v>
      </c>
      <c r="G183" s="101"/>
      <c r="H183" s="141">
        <v>0</v>
      </c>
      <c r="I183" s="22">
        <f>(H183/D183)*100</f>
        <v>0</v>
      </c>
      <c r="J183" s="227">
        <f t="shared" si="13"/>
        <v>2791826</v>
      </c>
      <c r="K183" s="228"/>
      <c r="L183" s="228"/>
    </row>
    <row r="184" spans="1:12" ht="15.75">
      <c r="A184" s="278" t="s">
        <v>44</v>
      </c>
      <c r="B184" s="278"/>
      <c r="C184" s="16">
        <f>C185+C188+C192+C193+C202</f>
        <v>0</v>
      </c>
      <c r="D184" s="125">
        <f>D185+D188+D192+D193+D202</f>
        <v>110028.19</v>
      </c>
      <c r="E184" s="123">
        <f>E185+E188+E192+E193+E202</f>
        <v>8182.389999999999</v>
      </c>
      <c r="F184" s="17">
        <v>0</v>
      </c>
      <c r="G184" s="104"/>
      <c r="H184" s="180">
        <f>H185+H188+H192+H193+H202</f>
        <v>105450.96</v>
      </c>
      <c r="I184" s="17">
        <f>(H184/D184)*100</f>
        <v>95.8399479260724</v>
      </c>
      <c r="J184" s="280">
        <f t="shared" si="13"/>
        <v>4577.229999999996</v>
      </c>
      <c r="K184" s="281"/>
      <c r="L184" s="281"/>
    </row>
    <row r="185" spans="1:12" ht="15.75">
      <c r="A185" s="226" t="s">
        <v>45</v>
      </c>
      <c r="B185" s="226"/>
      <c r="C185" s="19">
        <f>C186+C187</f>
        <v>0</v>
      </c>
      <c r="D185" s="20">
        <f>D186+D187</f>
        <v>0</v>
      </c>
      <c r="E185" s="21">
        <f>E186+E187</f>
        <v>0</v>
      </c>
      <c r="F185" s="22">
        <v>0</v>
      </c>
      <c r="G185" s="101"/>
      <c r="H185" s="102">
        <f>H186+H187</f>
        <v>0</v>
      </c>
      <c r="I185" s="22">
        <v>0</v>
      </c>
      <c r="J185" s="224">
        <f t="shared" si="13"/>
        <v>0</v>
      </c>
      <c r="K185" s="225"/>
      <c r="L185" s="225"/>
    </row>
    <row r="186" spans="1:12" ht="15.75">
      <c r="A186" s="226" t="s">
        <v>117</v>
      </c>
      <c r="B186" s="226"/>
      <c r="C186" s="19">
        <v>0</v>
      </c>
      <c r="D186" s="20">
        <v>0</v>
      </c>
      <c r="E186" s="21">
        <f>H186</f>
        <v>0</v>
      </c>
      <c r="F186" s="22">
        <v>0</v>
      </c>
      <c r="G186" s="101"/>
      <c r="H186" s="102">
        <v>0</v>
      </c>
      <c r="I186" s="22">
        <v>0</v>
      </c>
      <c r="J186" s="224">
        <f t="shared" si="13"/>
        <v>0</v>
      </c>
      <c r="K186" s="225"/>
      <c r="L186" s="225"/>
    </row>
    <row r="187" spans="1:12" ht="15.75">
      <c r="A187" s="226" t="s">
        <v>118</v>
      </c>
      <c r="B187" s="226"/>
      <c r="C187" s="19">
        <v>0</v>
      </c>
      <c r="D187" s="20">
        <v>0</v>
      </c>
      <c r="E187" s="21">
        <f>H187</f>
        <v>0</v>
      </c>
      <c r="F187" s="22">
        <v>0</v>
      </c>
      <c r="G187" s="101"/>
      <c r="H187" s="102">
        <v>0</v>
      </c>
      <c r="I187" s="22">
        <v>0</v>
      </c>
      <c r="J187" s="224">
        <f t="shared" si="13"/>
        <v>0</v>
      </c>
      <c r="K187" s="225"/>
      <c r="L187" s="225"/>
    </row>
    <row r="188" spans="1:12" ht="15.75">
      <c r="A188" s="226" t="s">
        <v>46</v>
      </c>
      <c r="B188" s="226"/>
      <c r="C188" s="19">
        <f>C189+C190+C191</f>
        <v>0</v>
      </c>
      <c r="D188" s="20">
        <f>D189+D190+D191</f>
        <v>0</v>
      </c>
      <c r="E188" s="21">
        <f>E189+E190+E191</f>
        <v>0</v>
      </c>
      <c r="F188" s="22">
        <v>0</v>
      </c>
      <c r="G188" s="101"/>
      <c r="H188" s="102">
        <f>SUM(H189:H191)</f>
        <v>0</v>
      </c>
      <c r="I188" s="22">
        <v>0</v>
      </c>
      <c r="J188" s="224">
        <f t="shared" si="13"/>
        <v>0</v>
      </c>
      <c r="K188" s="225"/>
      <c r="L188" s="225"/>
    </row>
    <row r="189" spans="1:12" ht="15.75">
      <c r="A189" s="226" t="s">
        <v>47</v>
      </c>
      <c r="B189" s="226"/>
      <c r="C189" s="19">
        <v>0</v>
      </c>
      <c r="D189" s="20">
        <v>0</v>
      </c>
      <c r="E189" s="21">
        <f>H189</f>
        <v>0</v>
      </c>
      <c r="F189" s="22">
        <v>0</v>
      </c>
      <c r="G189" s="101"/>
      <c r="H189" s="102">
        <v>0</v>
      </c>
      <c r="I189" s="22">
        <v>0</v>
      </c>
      <c r="J189" s="224">
        <f t="shared" si="13"/>
        <v>0</v>
      </c>
      <c r="K189" s="225"/>
      <c r="L189" s="225"/>
    </row>
    <row r="190" spans="1:12" ht="15.75">
      <c r="A190" s="226" t="s">
        <v>48</v>
      </c>
      <c r="B190" s="226"/>
      <c r="C190" s="19">
        <v>0</v>
      </c>
      <c r="D190" s="20">
        <v>0</v>
      </c>
      <c r="E190" s="21">
        <f>H190</f>
        <v>0</v>
      </c>
      <c r="F190" s="22">
        <v>0</v>
      </c>
      <c r="G190" s="101"/>
      <c r="H190" s="102">
        <v>0</v>
      </c>
      <c r="I190" s="22">
        <v>0</v>
      </c>
      <c r="J190" s="224">
        <f t="shared" si="13"/>
        <v>0</v>
      </c>
      <c r="K190" s="225"/>
      <c r="L190" s="225"/>
    </row>
    <row r="191" spans="1:12" ht="15.75">
      <c r="A191" s="226" t="s">
        <v>119</v>
      </c>
      <c r="B191" s="226"/>
      <c r="C191" s="19">
        <v>0</v>
      </c>
      <c r="D191" s="20">
        <v>0</v>
      </c>
      <c r="E191" s="21">
        <f>H191</f>
        <v>0</v>
      </c>
      <c r="F191" s="22">
        <v>0</v>
      </c>
      <c r="G191" s="101"/>
      <c r="H191" s="102">
        <v>0</v>
      </c>
      <c r="I191" s="22">
        <v>0</v>
      </c>
      <c r="J191" s="259">
        <f t="shared" si="13"/>
        <v>0</v>
      </c>
      <c r="K191" s="260"/>
      <c r="L191" s="260"/>
    </row>
    <row r="192" spans="1:12" ht="15.75">
      <c r="A192" s="226" t="s">
        <v>49</v>
      </c>
      <c r="B192" s="226"/>
      <c r="C192" s="19">
        <v>0</v>
      </c>
      <c r="D192" s="126">
        <v>110028.19</v>
      </c>
      <c r="E192" s="127">
        <f>H192-97268.57</f>
        <v>8182.389999999999</v>
      </c>
      <c r="F192" s="22">
        <v>0</v>
      </c>
      <c r="G192" s="101"/>
      <c r="H192" s="141">
        <v>105450.96</v>
      </c>
      <c r="I192" s="22">
        <f>(H192/D192)*100</f>
        <v>95.8399479260724</v>
      </c>
      <c r="J192" s="227">
        <f t="shared" si="13"/>
        <v>4577.229999999996</v>
      </c>
      <c r="K192" s="228"/>
      <c r="L192" s="228"/>
    </row>
    <row r="193" spans="1:12" ht="15.75">
      <c r="A193" s="226" t="s">
        <v>50</v>
      </c>
      <c r="B193" s="226"/>
      <c r="C193" s="19">
        <f>SUM(C194:C201)</f>
        <v>0</v>
      </c>
      <c r="D193" s="19">
        <f>SUM(D194:D201)</f>
        <v>0</v>
      </c>
      <c r="E193" s="21">
        <f>SUM(E194:E201)</f>
        <v>0</v>
      </c>
      <c r="F193" s="22">
        <v>0</v>
      </c>
      <c r="G193" s="101"/>
      <c r="H193" s="102">
        <f>SUM(H194:H201)</f>
        <v>0</v>
      </c>
      <c r="I193" s="22">
        <v>0</v>
      </c>
      <c r="J193" s="224">
        <f t="shared" si="13"/>
        <v>0</v>
      </c>
      <c r="K193" s="225"/>
      <c r="L193" s="225"/>
    </row>
    <row r="194" spans="1:12" ht="15.75">
      <c r="A194" s="226" t="s">
        <v>98</v>
      </c>
      <c r="B194" s="226"/>
      <c r="C194" s="19">
        <v>0</v>
      </c>
      <c r="D194" s="20">
        <v>0</v>
      </c>
      <c r="E194" s="21">
        <f>H194</f>
        <v>0</v>
      </c>
      <c r="F194" s="22">
        <v>0</v>
      </c>
      <c r="G194" s="101"/>
      <c r="H194" s="102">
        <v>0</v>
      </c>
      <c r="I194" s="22">
        <v>0</v>
      </c>
      <c r="J194" s="224">
        <f t="shared" si="13"/>
        <v>0</v>
      </c>
      <c r="K194" s="225"/>
      <c r="L194" s="225"/>
    </row>
    <row r="195" spans="1:12" ht="15.75">
      <c r="A195" s="226" t="s">
        <v>99</v>
      </c>
      <c r="B195" s="226"/>
      <c r="C195" s="19">
        <v>0</v>
      </c>
      <c r="D195" s="20">
        <v>0</v>
      </c>
      <c r="E195" s="21">
        <f>H195-0</f>
        <v>0</v>
      </c>
      <c r="F195" s="22">
        <v>0</v>
      </c>
      <c r="G195" s="101"/>
      <c r="H195" s="102">
        <v>0</v>
      </c>
      <c r="I195" s="22">
        <v>0</v>
      </c>
      <c r="J195" s="224">
        <f t="shared" si="13"/>
        <v>0</v>
      </c>
      <c r="K195" s="225"/>
      <c r="L195" s="225"/>
    </row>
    <row r="196" spans="1:12" ht="15.75">
      <c r="A196" s="226" t="s">
        <v>100</v>
      </c>
      <c r="B196" s="226"/>
      <c r="C196" s="19">
        <v>0</v>
      </c>
      <c r="D196" s="20">
        <v>0</v>
      </c>
      <c r="E196" s="21">
        <f aca="true" t="shared" si="14" ref="E196:E201">H196</f>
        <v>0</v>
      </c>
      <c r="F196" s="22">
        <v>0</v>
      </c>
      <c r="G196" s="101"/>
      <c r="H196" s="102">
        <v>0</v>
      </c>
      <c r="I196" s="22">
        <v>0</v>
      </c>
      <c r="J196" s="224">
        <f t="shared" si="13"/>
        <v>0</v>
      </c>
      <c r="K196" s="225"/>
      <c r="L196" s="225"/>
    </row>
    <row r="197" spans="1:12" ht="15.75">
      <c r="A197" s="226" t="s">
        <v>41</v>
      </c>
      <c r="B197" s="226"/>
      <c r="C197" s="19">
        <v>0</v>
      </c>
      <c r="D197" s="20">
        <v>0</v>
      </c>
      <c r="E197" s="21">
        <f t="shared" si="14"/>
        <v>0</v>
      </c>
      <c r="F197" s="22">
        <v>0</v>
      </c>
      <c r="G197" s="101"/>
      <c r="H197" s="102">
        <v>0</v>
      </c>
      <c r="I197" s="22">
        <v>0</v>
      </c>
      <c r="J197" s="224">
        <f t="shared" si="13"/>
        <v>0</v>
      </c>
      <c r="K197" s="225"/>
      <c r="L197" s="225"/>
    </row>
    <row r="198" spans="1:12" ht="15.75">
      <c r="A198" s="226" t="s">
        <v>83</v>
      </c>
      <c r="B198" s="226"/>
      <c r="C198" s="19">
        <v>0</v>
      </c>
      <c r="D198" s="20">
        <v>0</v>
      </c>
      <c r="E198" s="21">
        <f t="shared" si="14"/>
        <v>0</v>
      </c>
      <c r="F198" s="22">
        <v>0</v>
      </c>
      <c r="G198" s="101"/>
      <c r="H198" s="102">
        <v>0</v>
      </c>
      <c r="I198" s="22">
        <v>0</v>
      </c>
      <c r="J198" s="224">
        <f t="shared" si="13"/>
        <v>0</v>
      </c>
      <c r="K198" s="225"/>
      <c r="L198" s="225"/>
    </row>
    <row r="199" spans="1:12" ht="15.75">
      <c r="A199" s="226" t="s">
        <v>42</v>
      </c>
      <c r="B199" s="226"/>
      <c r="C199" s="19">
        <v>0</v>
      </c>
      <c r="D199" s="20">
        <v>0</v>
      </c>
      <c r="E199" s="21">
        <f t="shared" si="14"/>
        <v>0</v>
      </c>
      <c r="F199" s="22">
        <v>0</v>
      </c>
      <c r="G199" s="101"/>
      <c r="H199" s="102">
        <v>0</v>
      </c>
      <c r="I199" s="22">
        <v>0</v>
      </c>
      <c r="J199" s="224">
        <f t="shared" si="13"/>
        <v>0</v>
      </c>
      <c r="K199" s="225"/>
      <c r="L199" s="225"/>
    </row>
    <row r="200" spans="1:12" ht="15.75">
      <c r="A200" s="226" t="s">
        <v>101</v>
      </c>
      <c r="B200" s="226"/>
      <c r="C200" s="19">
        <v>0</v>
      </c>
      <c r="D200" s="20">
        <v>0</v>
      </c>
      <c r="E200" s="21">
        <f t="shared" si="14"/>
        <v>0</v>
      </c>
      <c r="F200" s="22">
        <v>0</v>
      </c>
      <c r="G200" s="101"/>
      <c r="H200" s="102">
        <v>0</v>
      </c>
      <c r="I200" s="22">
        <v>0</v>
      </c>
      <c r="J200" s="259">
        <f t="shared" si="13"/>
        <v>0</v>
      </c>
      <c r="K200" s="260"/>
      <c r="L200" s="260"/>
    </row>
    <row r="201" spans="1:12" ht="15.75">
      <c r="A201" s="226" t="s">
        <v>102</v>
      </c>
      <c r="B201" s="226"/>
      <c r="C201" s="19">
        <v>0</v>
      </c>
      <c r="D201" s="20">
        <v>0</v>
      </c>
      <c r="E201" s="21">
        <f t="shared" si="14"/>
        <v>0</v>
      </c>
      <c r="F201" s="22">
        <v>0</v>
      </c>
      <c r="G201" s="101"/>
      <c r="H201" s="102">
        <v>0</v>
      </c>
      <c r="I201" s="22">
        <v>0</v>
      </c>
      <c r="J201" s="259">
        <f t="shared" si="13"/>
        <v>0</v>
      </c>
      <c r="K201" s="260"/>
      <c r="L201" s="260"/>
    </row>
    <row r="202" spans="1:12" ht="15.75">
      <c r="A202" s="282" t="s">
        <v>51</v>
      </c>
      <c r="B202" s="226"/>
      <c r="C202" s="19">
        <f>SUM(C203:C206)</f>
        <v>0</v>
      </c>
      <c r="D202" s="20">
        <f>SUM(D203:D206)</f>
        <v>0</v>
      </c>
      <c r="E202" s="21">
        <f>SUM(E203:E206)</f>
        <v>0</v>
      </c>
      <c r="F202" s="22">
        <v>0</v>
      </c>
      <c r="G202" s="101"/>
      <c r="H202" s="102">
        <f>SUM(H203:H206)</f>
        <v>0</v>
      </c>
      <c r="I202" s="22">
        <v>0</v>
      </c>
      <c r="J202" s="224">
        <f t="shared" si="13"/>
        <v>0</v>
      </c>
      <c r="K202" s="225"/>
      <c r="L202" s="225"/>
    </row>
    <row r="203" spans="1:12" ht="15.75">
      <c r="A203" s="226" t="s">
        <v>120</v>
      </c>
      <c r="B203" s="226"/>
      <c r="C203" s="19">
        <v>0</v>
      </c>
      <c r="D203" s="20">
        <v>0</v>
      </c>
      <c r="E203" s="21">
        <f>H203-0</f>
        <v>0</v>
      </c>
      <c r="F203" s="22">
        <v>0</v>
      </c>
      <c r="G203" s="101"/>
      <c r="H203" s="102">
        <v>0</v>
      </c>
      <c r="I203" s="22">
        <v>0</v>
      </c>
      <c r="J203" s="224">
        <f t="shared" si="13"/>
        <v>0</v>
      </c>
      <c r="K203" s="225"/>
      <c r="L203" s="225"/>
    </row>
    <row r="204" spans="1:12" ht="15.75">
      <c r="A204" s="226" t="s">
        <v>121</v>
      </c>
      <c r="B204" s="226"/>
      <c r="C204" s="19">
        <v>0</v>
      </c>
      <c r="D204" s="20">
        <v>0</v>
      </c>
      <c r="E204" s="21">
        <f>H204</f>
        <v>0</v>
      </c>
      <c r="F204" s="22">
        <v>0</v>
      </c>
      <c r="G204" s="101"/>
      <c r="H204" s="102">
        <v>0</v>
      </c>
      <c r="I204" s="22">
        <v>0</v>
      </c>
      <c r="J204" s="224">
        <f t="shared" si="13"/>
        <v>0</v>
      </c>
      <c r="K204" s="225"/>
      <c r="L204" s="225"/>
    </row>
    <row r="205" spans="1:12" ht="15.75">
      <c r="A205" s="226" t="s">
        <v>122</v>
      </c>
      <c r="B205" s="226"/>
      <c r="C205" s="19">
        <v>0</v>
      </c>
      <c r="D205" s="20">
        <v>0</v>
      </c>
      <c r="E205" s="21">
        <f>H205</f>
        <v>0</v>
      </c>
      <c r="F205" s="22">
        <v>0</v>
      </c>
      <c r="G205" s="101"/>
      <c r="H205" s="102">
        <v>0</v>
      </c>
      <c r="I205" s="22">
        <v>0</v>
      </c>
      <c r="J205" s="224">
        <f t="shared" si="13"/>
        <v>0</v>
      </c>
      <c r="K205" s="225"/>
      <c r="L205" s="225"/>
    </row>
    <row r="206" spans="1:12" ht="15.75">
      <c r="A206" s="323" t="s">
        <v>123</v>
      </c>
      <c r="B206" s="323"/>
      <c r="C206" s="63">
        <v>0</v>
      </c>
      <c r="D206" s="29">
        <v>0</v>
      </c>
      <c r="E206" s="28">
        <f>H206</f>
        <v>0</v>
      </c>
      <c r="F206" s="30">
        <v>0</v>
      </c>
      <c r="G206" s="112"/>
      <c r="H206" s="113">
        <v>0</v>
      </c>
      <c r="I206" s="30">
        <v>0</v>
      </c>
      <c r="J206" s="290">
        <f t="shared" si="13"/>
        <v>0</v>
      </c>
      <c r="K206" s="221"/>
      <c r="L206" s="221"/>
    </row>
    <row r="207" spans="1:12" ht="15.75" customHeight="1">
      <c r="A207" s="49"/>
      <c r="B207" s="50"/>
      <c r="C207" s="50"/>
      <c r="D207" s="51"/>
      <c r="E207" s="80"/>
      <c r="F207" s="50"/>
      <c r="G207" s="80"/>
      <c r="H207" s="321"/>
      <c r="I207" s="321"/>
      <c r="J207" s="53"/>
      <c r="K207" s="321"/>
      <c r="L207" s="321"/>
    </row>
    <row r="208" spans="1:12" ht="21.75" customHeight="1">
      <c r="A208" s="298" t="s">
        <v>18</v>
      </c>
      <c r="B208" s="81" t="s">
        <v>15</v>
      </c>
      <c r="C208" s="81" t="s">
        <v>15</v>
      </c>
      <c r="D208" s="242" t="s">
        <v>16</v>
      </c>
      <c r="E208" s="301"/>
      <c r="F208" s="308" t="s">
        <v>68</v>
      </c>
      <c r="G208" s="242" t="s">
        <v>17</v>
      </c>
      <c r="H208" s="243"/>
      <c r="I208" s="308" t="s">
        <v>68</v>
      </c>
      <c r="J208" s="233" t="s">
        <v>72</v>
      </c>
      <c r="K208" s="302" t="s">
        <v>133</v>
      </c>
      <c r="L208" s="303"/>
    </row>
    <row r="209" spans="1:12" ht="18" customHeight="1">
      <c r="A209" s="299"/>
      <c r="B209" s="82" t="s">
        <v>5</v>
      </c>
      <c r="C209" s="82" t="s">
        <v>6</v>
      </c>
      <c r="D209" s="83" t="s">
        <v>73</v>
      </c>
      <c r="E209" s="83" t="s">
        <v>74</v>
      </c>
      <c r="F209" s="309"/>
      <c r="G209" s="83" t="s">
        <v>73</v>
      </c>
      <c r="H209" s="244" t="s">
        <v>132</v>
      </c>
      <c r="I209" s="309"/>
      <c r="J209" s="234"/>
      <c r="K209" s="304"/>
      <c r="L209" s="305"/>
    </row>
    <row r="210" spans="1:12" ht="14.25" customHeight="1">
      <c r="A210" s="299"/>
      <c r="B210" s="82"/>
      <c r="C210" s="82"/>
      <c r="D210" s="84" t="s">
        <v>75</v>
      </c>
      <c r="E210" s="84" t="s">
        <v>75</v>
      </c>
      <c r="F210" s="309"/>
      <c r="G210" s="84" t="s">
        <v>75</v>
      </c>
      <c r="H210" s="245"/>
      <c r="I210" s="309"/>
      <c r="J210" s="234"/>
      <c r="K210" s="304"/>
      <c r="L210" s="305"/>
    </row>
    <row r="211" spans="1:12" ht="42" customHeight="1">
      <c r="A211" s="300"/>
      <c r="B211" s="85" t="s">
        <v>19</v>
      </c>
      <c r="C211" s="85" t="s">
        <v>20</v>
      </c>
      <c r="D211" s="85"/>
      <c r="E211" s="85" t="s">
        <v>76</v>
      </c>
      <c r="F211" s="86" t="s">
        <v>77</v>
      </c>
      <c r="G211" s="85"/>
      <c r="H211" s="85" t="s">
        <v>21</v>
      </c>
      <c r="I211" s="100" t="s">
        <v>78</v>
      </c>
      <c r="J211" s="85" t="s">
        <v>22</v>
      </c>
      <c r="K211" s="306"/>
      <c r="L211" s="307"/>
    </row>
    <row r="212" spans="1:12" s="3" customFormat="1" ht="15.75">
      <c r="A212" s="205" t="s">
        <v>64</v>
      </c>
      <c r="B212" s="209">
        <f>B213+B217</f>
        <v>5479454544</v>
      </c>
      <c r="C212" s="149">
        <f>C213+C217</f>
        <v>7133311805.049999</v>
      </c>
      <c r="D212" s="149">
        <f>D213+D217</f>
        <v>1217525612.9700003</v>
      </c>
      <c r="E212" s="149">
        <f>E213+E217</f>
        <v>6369820092.67</v>
      </c>
      <c r="F212" s="149">
        <f>C212-E212</f>
        <v>763491712.3799992</v>
      </c>
      <c r="G212" s="149">
        <f>G213+G217</f>
        <v>1504918600.0499997</v>
      </c>
      <c r="H212" s="154">
        <f>H213+H217</f>
        <v>6347842257.03</v>
      </c>
      <c r="I212" s="158">
        <f aca="true" t="shared" si="15" ref="I212:I219">C212-H212</f>
        <v>785469548.0199995</v>
      </c>
      <c r="J212" s="125">
        <f>J213+J217</f>
        <v>5982740952.7699995</v>
      </c>
      <c r="K212" s="310">
        <f>K213+K217</f>
        <v>21977835.640000343</v>
      </c>
      <c r="L212" s="311"/>
    </row>
    <row r="213" spans="1:12" s="3" customFormat="1" ht="15.75">
      <c r="A213" s="205" t="s">
        <v>55</v>
      </c>
      <c r="B213" s="149">
        <f>SUM(B214:B216)</f>
        <v>5479308844</v>
      </c>
      <c r="C213" s="149">
        <f>SUM(C214:C216)</f>
        <v>7132960767.049999</v>
      </c>
      <c r="D213" s="149">
        <f>SUM(D214:D216)</f>
        <v>1217614743.3200002</v>
      </c>
      <c r="E213" s="149">
        <f>SUM(E214:E216)</f>
        <v>6369714641.71</v>
      </c>
      <c r="F213" s="149">
        <f aca="true" t="shared" si="16" ref="F213:F219">C213-E213</f>
        <v>763246125.3399992</v>
      </c>
      <c r="G213" s="149">
        <f>SUM(G214:G216)</f>
        <v>1504862030.3999996</v>
      </c>
      <c r="H213" s="155">
        <f>SUM(H214:H216)</f>
        <v>6347736806.07</v>
      </c>
      <c r="I213" s="145">
        <f t="shared" si="15"/>
        <v>785223960.9799995</v>
      </c>
      <c r="J213" s="125">
        <f>SUM(J214:J216)</f>
        <v>5982635501.809999</v>
      </c>
      <c r="K213" s="310">
        <f>SUM(K214:L216)</f>
        <v>21977835.640000343</v>
      </c>
      <c r="L213" s="311"/>
    </row>
    <row r="214" spans="1:12" s="3" customFormat="1" ht="15.75" customHeight="1">
      <c r="A214" s="206" t="s">
        <v>56</v>
      </c>
      <c r="B214" s="147">
        <v>3025509958</v>
      </c>
      <c r="C214" s="147">
        <v>3643446619.31</v>
      </c>
      <c r="D214" s="147">
        <f>E214-2895887622.65</f>
        <v>592242955.9000001</v>
      </c>
      <c r="E214" s="147">
        <v>3488130578.55</v>
      </c>
      <c r="F214" s="147">
        <f t="shared" si="16"/>
        <v>155316040.75999975</v>
      </c>
      <c r="G214" s="147">
        <f>H214-2669026846.82</f>
        <v>801175823.9199996</v>
      </c>
      <c r="H214" s="156">
        <v>3470202670.74</v>
      </c>
      <c r="I214" s="144">
        <f t="shared" si="15"/>
        <v>173243948.57000017</v>
      </c>
      <c r="J214" s="126">
        <v>3181835791.25</v>
      </c>
      <c r="K214" s="217">
        <f>E214-H214</f>
        <v>17927907.81000042</v>
      </c>
      <c r="L214" s="218"/>
    </row>
    <row r="215" spans="1:12" s="3" customFormat="1" ht="15.75" customHeight="1">
      <c r="A215" s="207" t="s">
        <v>130</v>
      </c>
      <c r="B215" s="40">
        <v>0</v>
      </c>
      <c r="C215" s="40">
        <v>0</v>
      </c>
      <c r="D215" s="40">
        <v>0</v>
      </c>
      <c r="E215" s="40">
        <v>0</v>
      </c>
      <c r="F215" s="40">
        <f t="shared" si="16"/>
        <v>0</v>
      </c>
      <c r="G215" s="40">
        <v>0</v>
      </c>
      <c r="H215" s="98">
        <v>0</v>
      </c>
      <c r="I215" s="95">
        <f t="shared" si="15"/>
        <v>0</v>
      </c>
      <c r="J215" s="20">
        <v>0</v>
      </c>
      <c r="K215" s="259">
        <f>E215-H215</f>
        <v>0</v>
      </c>
      <c r="L215" s="260"/>
    </row>
    <row r="216" spans="1:12" s="3" customFormat="1" ht="15.75" customHeight="1">
      <c r="A216" s="206" t="s">
        <v>58</v>
      </c>
      <c r="B216" s="147">
        <v>2453798886</v>
      </c>
      <c r="C216" s="147">
        <v>3489514147.74</v>
      </c>
      <c r="D216" s="147">
        <f>E216-2256212275.74</f>
        <v>625371787.4200001</v>
      </c>
      <c r="E216" s="147">
        <v>2881584063.16</v>
      </c>
      <c r="F216" s="147">
        <f t="shared" si="16"/>
        <v>607930084.5799999</v>
      </c>
      <c r="G216" s="147">
        <f>H216-2173847928.85</f>
        <v>703686206.48</v>
      </c>
      <c r="H216" s="156">
        <v>2877534135.33</v>
      </c>
      <c r="I216" s="144">
        <f t="shared" si="15"/>
        <v>611980012.4099998</v>
      </c>
      <c r="J216" s="126">
        <v>2800799710.56</v>
      </c>
      <c r="K216" s="217">
        <f>E216-H216</f>
        <v>4049927.8299999237</v>
      </c>
      <c r="L216" s="218"/>
    </row>
    <row r="217" spans="1:12" s="3" customFormat="1" ht="15.75" customHeight="1">
      <c r="A217" s="205" t="s">
        <v>59</v>
      </c>
      <c r="B217" s="149">
        <f>B218+B219+B221</f>
        <v>145700</v>
      </c>
      <c r="C217" s="149">
        <f>C218+C219+C221+C220</f>
        <v>351038</v>
      </c>
      <c r="D217" s="149">
        <f>D218+D219+D221+D220</f>
        <v>-89130.34999999999</v>
      </c>
      <c r="E217" s="149">
        <f>E218+E219+E221+E220</f>
        <v>105450.96</v>
      </c>
      <c r="F217" s="149">
        <f t="shared" si="16"/>
        <v>245587.03999999998</v>
      </c>
      <c r="G217" s="149">
        <f>G218+G219+G221+G220</f>
        <v>56569.65000000001</v>
      </c>
      <c r="H217" s="155">
        <f>H218+H219+H221+H220</f>
        <v>105450.96</v>
      </c>
      <c r="I217" s="145">
        <f t="shared" si="15"/>
        <v>245587.03999999998</v>
      </c>
      <c r="J217" s="125">
        <f>SUM(J218:J221)</f>
        <v>105450.96</v>
      </c>
      <c r="K217" s="324">
        <f>K218+K219+K221</f>
        <v>0</v>
      </c>
      <c r="L217" s="325"/>
    </row>
    <row r="218" spans="1:12" s="3" customFormat="1" ht="15.75" customHeight="1">
      <c r="A218" s="206" t="s">
        <v>60</v>
      </c>
      <c r="B218" s="170">
        <v>145700</v>
      </c>
      <c r="C218" s="182">
        <v>245587.04</v>
      </c>
      <c r="D218" s="182">
        <f>E218-145700</f>
        <v>-145700</v>
      </c>
      <c r="E218" s="182">
        <v>0</v>
      </c>
      <c r="F218" s="182">
        <f t="shared" si="16"/>
        <v>245587.04</v>
      </c>
      <c r="G218" s="20">
        <f>H218-0</f>
        <v>0</v>
      </c>
      <c r="H218" s="98">
        <v>0</v>
      </c>
      <c r="I218" s="181">
        <f t="shared" si="15"/>
        <v>245587.04</v>
      </c>
      <c r="J218" s="20">
        <v>0</v>
      </c>
      <c r="K218" s="260">
        <f>E218-H218</f>
        <v>0</v>
      </c>
      <c r="L218" s="260"/>
    </row>
    <row r="219" spans="1:12" s="3" customFormat="1" ht="15.75" customHeight="1">
      <c r="A219" s="206" t="s">
        <v>61</v>
      </c>
      <c r="B219" s="40">
        <v>0</v>
      </c>
      <c r="C219" s="40">
        <v>0</v>
      </c>
      <c r="D219" s="40">
        <f>E219-0</f>
        <v>0</v>
      </c>
      <c r="E219" s="147">
        <v>0</v>
      </c>
      <c r="F219" s="40">
        <f t="shared" si="16"/>
        <v>0</v>
      </c>
      <c r="G219" s="20">
        <f>H219-0</f>
        <v>0</v>
      </c>
      <c r="H219" s="98">
        <v>0</v>
      </c>
      <c r="I219" s="95">
        <f t="shared" si="15"/>
        <v>0</v>
      </c>
      <c r="J219" s="20">
        <v>0</v>
      </c>
      <c r="K219" s="259">
        <f>E219-H219</f>
        <v>0</v>
      </c>
      <c r="L219" s="260"/>
    </row>
    <row r="220" spans="1:12" s="3" customFormat="1" ht="15.75" customHeight="1">
      <c r="A220" s="206" t="s">
        <v>62</v>
      </c>
      <c r="B220" s="126">
        <v>0</v>
      </c>
      <c r="C220" s="191">
        <v>105450.96</v>
      </c>
      <c r="D220" s="191">
        <f>E220-48881.31</f>
        <v>56569.65000000001</v>
      </c>
      <c r="E220" s="126">
        <v>105450.96</v>
      </c>
      <c r="F220" s="126">
        <f>C220-E220</f>
        <v>0</v>
      </c>
      <c r="G220" s="191">
        <f>H220-48881.31</f>
        <v>56569.65000000001</v>
      </c>
      <c r="H220" s="156">
        <v>105450.96</v>
      </c>
      <c r="I220" s="144">
        <f>C220-H220</f>
        <v>0</v>
      </c>
      <c r="J220" s="126">
        <v>105450.96</v>
      </c>
      <c r="K220" s="259">
        <f>E220-H220</f>
        <v>0</v>
      </c>
      <c r="L220" s="260"/>
    </row>
    <row r="221" spans="1:12" s="3" customFormat="1" ht="15.75" customHeight="1">
      <c r="A221" s="208" t="s">
        <v>155</v>
      </c>
      <c r="B221" s="160">
        <v>0</v>
      </c>
      <c r="C221" s="133">
        <v>0</v>
      </c>
      <c r="D221" s="133">
        <f>E221-0</f>
        <v>0</v>
      </c>
      <c r="E221" s="160">
        <v>0</v>
      </c>
      <c r="F221" s="160">
        <f>C221-E221</f>
        <v>0</v>
      </c>
      <c r="G221" s="133">
        <f>H221-0</f>
        <v>0</v>
      </c>
      <c r="H221" s="161">
        <v>0</v>
      </c>
      <c r="I221" s="161">
        <f>C221-H221</f>
        <v>0</v>
      </c>
      <c r="J221" s="133">
        <v>0</v>
      </c>
      <c r="K221" s="319">
        <f>E221-H221</f>
        <v>0</v>
      </c>
      <c r="L221" s="320"/>
    </row>
    <row r="222" spans="1:12" s="3" customFormat="1" ht="15.75">
      <c r="A222" s="140" t="s">
        <v>127</v>
      </c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5" t="s">
        <v>92</v>
      </c>
    </row>
    <row r="223" spans="1:12" s="3" customFormat="1" ht="15.75" customHeight="1">
      <c r="A223" s="115" t="s">
        <v>145</v>
      </c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8"/>
    </row>
    <row r="224" spans="1:12" s="3" customFormat="1" ht="15.75" customHeight="1">
      <c r="A224" s="116" t="s">
        <v>146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9"/>
    </row>
    <row r="225" spans="1:12" s="3" customFormat="1" ht="15.75" customHeight="1">
      <c r="A225" s="115" t="s">
        <v>142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8"/>
    </row>
    <row r="226" spans="1:12" s="3" customFormat="1" ht="15.75" customHeight="1">
      <c r="A226" s="116" t="s">
        <v>154</v>
      </c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19"/>
    </row>
    <row r="227" spans="1:12" s="3" customFormat="1" ht="15.75" customHeight="1" hidden="1">
      <c r="A227" s="322" t="s">
        <v>143</v>
      </c>
      <c r="B227" s="322"/>
      <c r="C227" s="322"/>
      <c r="D227" s="322"/>
      <c r="E227" s="322"/>
      <c r="F227" s="322"/>
      <c r="G227" s="322"/>
      <c r="H227" s="322"/>
      <c r="I227" s="322"/>
      <c r="J227" s="322"/>
      <c r="K227" s="322"/>
      <c r="L227" s="322"/>
    </row>
    <row r="228" spans="1:12" s="3" customFormat="1" ht="15.75" customHeight="1">
      <c r="A228" s="326" t="s">
        <v>144</v>
      </c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  <c r="L228" s="326"/>
    </row>
    <row r="229" spans="1:13" s="3" customFormat="1" ht="15.75" customHeight="1">
      <c r="A229" s="68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1:12" s="3" customFormat="1" ht="15.75" customHeight="1">
      <c r="A230" s="70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</row>
    <row r="231" spans="1:12" s="3" customFormat="1" ht="15.75" customHeight="1">
      <c r="A231" s="70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</row>
    <row r="232" spans="1:12" s="3" customFormat="1" ht="15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s="3" customFormat="1" ht="15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s="3" customFormat="1" ht="15.75" customHeight="1">
      <c r="A234" s="235" t="s">
        <v>93</v>
      </c>
      <c r="B234" s="235"/>
      <c r="C234" s="235" t="s">
        <v>87</v>
      </c>
      <c r="D234" s="235"/>
      <c r="E234" s="235"/>
      <c r="F234" s="235"/>
      <c r="G234" s="261" t="s">
        <v>147</v>
      </c>
      <c r="H234" s="261"/>
      <c r="I234" s="261"/>
      <c r="J234" s="261"/>
      <c r="K234" s="261"/>
      <c r="L234" s="66"/>
    </row>
    <row r="235" spans="1:12" s="3" customFormat="1" ht="15.75" customHeight="1">
      <c r="A235" s="235" t="s">
        <v>86</v>
      </c>
      <c r="B235" s="235"/>
      <c r="C235" s="235" t="s">
        <v>88</v>
      </c>
      <c r="D235" s="235"/>
      <c r="E235" s="235"/>
      <c r="F235" s="235"/>
      <c r="G235" s="261" t="s">
        <v>149</v>
      </c>
      <c r="H235" s="261"/>
      <c r="I235" s="261"/>
      <c r="J235" s="261"/>
      <c r="K235" s="261"/>
      <c r="L235" s="66"/>
    </row>
    <row r="236" spans="1:12" s="3" customFormat="1" ht="15.75" customHeight="1">
      <c r="A236" s="235" t="s">
        <v>85</v>
      </c>
      <c r="B236" s="235"/>
      <c r="C236" s="235" t="s">
        <v>89</v>
      </c>
      <c r="D236" s="235"/>
      <c r="E236" s="235"/>
      <c r="F236" s="235"/>
      <c r="G236" s="261" t="s">
        <v>148</v>
      </c>
      <c r="H236" s="261"/>
      <c r="I236" s="261"/>
      <c r="J236" s="261"/>
      <c r="K236" s="261"/>
      <c r="L236" s="66"/>
    </row>
    <row r="237" spans="1:12" ht="15.75" customHeight="1">
      <c r="A237" s="71"/>
      <c r="B237" s="71"/>
      <c r="C237" s="71"/>
      <c r="D237" s="71"/>
      <c r="E237" s="71"/>
      <c r="F237" s="71"/>
      <c r="G237" s="72"/>
      <c r="H237" s="72"/>
      <c r="I237" s="72"/>
      <c r="J237" s="72"/>
      <c r="K237" s="72"/>
      <c r="L237" s="71"/>
    </row>
    <row r="238" spans="1:12" ht="11.2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1:12" ht="11.2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1.2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1.2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1.2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1:12" ht="11.2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1:12" ht="11.2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1:12" ht="11.2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</row>
    <row r="246" spans="1:12" ht="11.2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2" ht="11.2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</row>
    <row r="248" spans="1:12" ht="11.2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</row>
  </sheetData>
  <sheetProtection/>
  <mergeCells count="372">
    <mergeCell ref="A228:L228"/>
    <mergeCell ref="J193:L193"/>
    <mergeCell ref="J194:L194"/>
    <mergeCell ref="J192:L192"/>
    <mergeCell ref="J202:L202"/>
    <mergeCell ref="J201:L201"/>
    <mergeCell ref="J196:L196"/>
    <mergeCell ref="J197:L197"/>
    <mergeCell ref="J204:L204"/>
    <mergeCell ref="J195:L195"/>
    <mergeCell ref="K220:L220"/>
    <mergeCell ref="A227:L227"/>
    <mergeCell ref="A199:B199"/>
    <mergeCell ref="A200:B200"/>
    <mergeCell ref="K216:L216"/>
    <mergeCell ref="A206:B206"/>
    <mergeCell ref="J200:L200"/>
    <mergeCell ref="K217:L217"/>
    <mergeCell ref="J167:L167"/>
    <mergeCell ref="J168:L168"/>
    <mergeCell ref="J169:L169"/>
    <mergeCell ref="J180:L180"/>
    <mergeCell ref="J181:L181"/>
    <mergeCell ref="I208:I210"/>
    <mergeCell ref="J205:L205"/>
    <mergeCell ref="J203:L203"/>
    <mergeCell ref="J199:L199"/>
    <mergeCell ref="A183:B183"/>
    <mergeCell ref="A197:B197"/>
    <mergeCell ref="A198:B198"/>
    <mergeCell ref="J186:L186"/>
    <mergeCell ref="J187:L187"/>
    <mergeCell ref="F208:F210"/>
    <mergeCell ref="J189:L189"/>
    <mergeCell ref="K208:L211"/>
    <mergeCell ref="A194:B194"/>
    <mergeCell ref="J198:L198"/>
    <mergeCell ref="J191:L191"/>
    <mergeCell ref="A181:B181"/>
    <mergeCell ref="A191:B191"/>
    <mergeCell ref="A193:B193"/>
    <mergeCell ref="A202:B202"/>
    <mergeCell ref="A195:B195"/>
    <mergeCell ref="D208:E208"/>
    <mergeCell ref="A201:B201"/>
    <mergeCell ref="A205:B205"/>
    <mergeCell ref="K218:L218"/>
    <mergeCell ref="A204:B204"/>
    <mergeCell ref="K212:L212"/>
    <mergeCell ref="K213:L213"/>
    <mergeCell ref="K214:L214"/>
    <mergeCell ref="J206:L206"/>
    <mergeCell ref="A203:B203"/>
    <mergeCell ref="K219:L219"/>
    <mergeCell ref="K221:L221"/>
    <mergeCell ref="A196:B196"/>
    <mergeCell ref="J188:L188"/>
    <mergeCell ref="A189:B189"/>
    <mergeCell ref="A192:B192"/>
    <mergeCell ref="J208:J210"/>
    <mergeCell ref="H207:I207"/>
    <mergeCell ref="K207:L207"/>
    <mergeCell ref="A208:A211"/>
    <mergeCell ref="A135:L135"/>
    <mergeCell ref="J184:L184"/>
    <mergeCell ref="A185:B185"/>
    <mergeCell ref="A190:B190"/>
    <mergeCell ref="J190:L190"/>
    <mergeCell ref="A186:B186"/>
    <mergeCell ref="A187:B187"/>
    <mergeCell ref="A188:B188"/>
    <mergeCell ref="A184:B184"/>
    <mergeCell ref="A180:B180"/>
    <mergeCell ref="A174:B174"/>
    <mergeCell ref="A175:B175"/>
    <mergeCell ref="A169:B169"/>
    <mergeCell ref="A159:B159"/>
    <mergeCell ref="A151:B151"/>
    <mergeCell ref="A149:B149"/>
    <mergeCell ref="A155:B155"/>
    <mergeCell ref="A170:B170"/>
    <mergeCell ref="A172:B172"/>
    <mergeCell ref="J179:L179"/>
    <mergeCell ref="A179:B179"/>
    <mergeCell ref="J185:L185"/>
    <mergeCell ref="J183:L183"/>
    <mergeCell ref="A41:B41"/>
    <mergeCell ref="A42:B42"/>
    <mergeCell ref="A43:B43"/>
    <mergeCell ref="A49:B49"/>
    <mergeCell ref="A50:B50"/>
    <mergeCell ref="J176:L176"/>
    <mergeCell ref="J174:L174"/>
    <mergeCell ref="A171:B171"/>
    <mergeCell ref="A74:B74"/>
    <mergeCell ref="A167:B167"/>
    <mergeCell ref="J173:L173"/>
    <mergeCell ref="J178:L178"/>
    <mergeCell ref="A176:B176"/>
    <mergeCell ref="A177:B177"/>
    <mergeCell ref="J177:L177"/>
    <mergeCell ref="A178:B178"/>
    <mergeCell ref="J175:L175"/>
    <mergeCell ref="A73:B73"/>
    <mergeCell ref="J172:L172"/>
    <mergeCell ref="J50:L50"/>
    <mergeCell ref="J165:L165"/>
    <mergeCell ref="A148:B148"/>
    <mergeCell ref="J148:L148"/>
    <mergeCell ref="A54:B54"/>
    <mergeCell ref="A55:B55"/>
    <mergeCell ref="A65:B65"/>
    <mergeCell ref="A63:B63"/>
    <mergeCell ref="J170:L170"/>
    <mergeCell ref="J171:L171"/>
    <mergeCell ref="A173:B173"/>
    <mergeCell ref="A153:B153"/>
    <mergeCell ref="A164:B164"/>
    <mergeCell ref="J164:L164"/>
    <mergeCell ref="A165:B165"/>
    <mergeCell ref="A168:B168"/>
    <mergeCell ref="J166:L166"/>
    <mergeCell ref="J60:L60"/>
    <mergeCell ref="A60:B60"/>
    <mergeCell ref="J58:L58"/>
    <mergeCell ref="A58:B58"/>
    <mergeCell ref="A59:B59"/>
    <mergeCell ref="J59:L59"/>
    <mergeCell ref="J161:L161"/>
    <mergeCell ref="A162:B162"/>
    <mergeCell ref="J163:L163"/>
    <mergeCell ref="A163:B163"/>
    <mergeCell ref="J162:L162"/>
    <mergeCell ref="A166:B166"/>
    <mergeCell ref="A161:B161"/>
    <mergeCell ref="J159:L159"/>
    <mergeCell ref="A160:B160"/>
    <mergeCell ref="J160:L160"/>
    <mergeCell ref="A157:B157"/>
    <mergeCell ref="J157:L157"/>
    <mergeCell ref="A158:B158"/>
    <mergeCell ref="J158:L158"/>
    <mergeCell ref="J155:L155"/>
    <mergeCell ref="A156:B156"/>
    <mergeCell ref="J156:L156"/>
    <mergeCell ref="J151:L151"/>
    <mergeCell ref="A154:B154"/>
    <mergeCell ref="J154:L154"/>
    <mergeCell ref="J152:L152"/>
    <mergeCell ref="J153:L153"/>
    <mergeCell ref="A152:B152"/>
    <mergeCell ref="J149:L149"/>
    <mergeCell ref="A150:B150"/>
    <mergeCell ref="J150:L150"/>
    <mergeCell ref="A146:B146"/>
    <mergeCell ref="J146:L146"/>
    <mergeCell ref="A147:B147"/>
    <mergeCell ref="J147:L147"/>
    <mergeCell ref="E140:I140"/>
    <mergeCell ref="G141:H141"/>
    <mergeCell ref="J141:L141"/>
    <mergeCell ref="A144:B144"/>
    <mergeCell ref="J144:L144"/>
    <mergeCell ref="A145:B145"/>
    <mergeCell ref="J145:L145"/>
    <mergeCell ref="A143:B143"/>
    <mergeCell ref="J143:L143"/>
    <mergeCell ref="A140:B142"/>
    <mergeCell ref="K116:L116"/>
    <mergeCell ref="K117:L117"/>
    <mergeCell ref="K118:L118"/>
    <mergeCell ref="G142:H142"/>
    <mergeCell ref="J142:L142"/>
    <mergeCell ref="A132:L132"/>
    <mergeCell ref="A133:L133"/>
    <mergeCell ref="J140:L140"/>
    <mergeCell ref="K119:L119"/>
    <mergeCell ref="C140:C142"/>
    <mergeCell ref="K102:L102"/>
    <mergeCell ref="K103:L103"/>
    <mergeCell ref="K104:L104"/>
    <mergeCell ref="K115:L115"/>
    <mergeCell ref="K109:L109"/>
    <mergeCell ref="K113:L113"/>
    <mergeCell ref="K110:L110"/>
    <mergeCell ref="K111:L111"/>
    <mergeCell ref="K112:L112"/>
    <mergeCell ref="K114:L114"/>
    <mergeCell ref="A96:B96"/>
    <mergeCell ref="A95:B95"/>
    <mergeCell ref="A98:A101"/>
    <mergeCell ref="D98:E98"/>
    <mergeCell ref="J95:L95"/>
    <mergeCell ref="J96:L96"/>
    <mergeCell ref="G98:H98"/>
    <mergeCell ref="K98:L101"/>
    <mergeCell ref="F98:F100"/>
    <mergeCell ref="I98:I100"/>
    <mergeCell ref="A92:B92"/>
    <mergeCell ref="J92:L92"/>
    <mergeCell ref="J94:L94"/>
    <mergeCell ref="J93:L93"/>
    <mergeCell ref="A93:B93"/>
    <mergeCell ref="A94:B94"/>
    <mergeCell ref="J91:L91"/>
    <mergeCell ref="A88:B88"/>
    <mergeCell ref="J88:L88"/>
    <mergeCell ref="A90:B90"/>
    <mergeCell ref="J80:L80"/>
    <mergeCell ref="J90:L90"/>
    <mergeCell ref="A89:B89"/>
    <mergeCell ref="J89:L89"/>
    <mergeCell ref="J87:L87"/>
    <mergeCell ref="J79:L79"/>
    <mergeCell ref="J85:L85"/>
    <mergeCell ref="A80:B80"/>
    <mergeCell ref="A82:B82"/>
    <mergeCell ref="A85:B85"/>
    <mergeCell ref="J81:L81"/>
    <mergeCell ref="A79:B79"/>
    <mergeCell ref="A81:B81"/>
    <mergeCell ref="J82:L82"/>
    <mergeCell ref="J83:L83"/>
    <mergeCell ref="A77:B77"/>
    <mergeCell ref="A75:B75"/>
    <mergeCell ref="J74:L74"/>
    <mergeCell ref="J75:L75"/>
    <mergeCell ref="J71:L71"/>
    <mergeCell ref="J72:L72"/>
    <mergeCell ref="A71:B71"/>
    <mergeCell ref="A72:B72"/>
    <mergeCell ref="A64:B64"/>
    <mergeCell ref="A61:B61"/>
    <mergeCell ref="J61:L61"/>
    <mergeCell ref="A62:B62"/>
    <mergeCell ref="J63:L63"/>
    <mergeCell ref="A67:B67"/>
    <mergeCell ref="J67:L67"/>
    <mergeCell ref="J65:L65"/>
    <mergeCell ref="J64:L64"/>
    <mergeCell ref="J62:L62"/>
    <mergeCell ref="J57:L57"/>
    <mergeCell ref="J53:L53"/>
    <mergeCell ref="A57:B57"/>
    <mergeCell ref="J49:L49"/>
    <mergeCell ref="A52:B52"/>
    <mergeCell ref="J52:L52"/>
    <mergeCell ref="J55:L55"/>
    <mergeCell ref="J54:L54"/>
    <mergeCell ref="A53:B53"/>
    <mergeCell ref="A56:B56"/>
    <mergeCell ref="A45:B45"/>
    <mergeCell ref="J45:L45"/>
    <mergeCell ref="A46:B46"/>
    <mergeCell ref="J41:L41"/>
    <mergeCell ref="A48:B48"/>
    <mergeCell ref="J48:L48"/>
    <mergeCell ref="A47:B47"/>
    <mergeCell ref="J47:L47"/>
    <mergeCell ref="J46:L46"/>
    <mergeCell ref="J42:L42"/>
    <mergeCell ref="J39:L39"/>
    <mergeCell ref="A39:B39"/>
    <mergeCell ref="A38:B38"/>
    <mergeCell ref="A44:B44"/>
    <mergeCell ref="J44:L44"/>
    <mergeCell ref="J43:L43"/>
    <mergeCell ref="J38:L38"/>
    <mergeCell ref="J40:L40"/>
    <mergeCell ref="A40:B40"/>
    <mergeCell ref="J26:L26"/>
    <mergeCell ref="J31:L31"/>
    <mergeCell ref="A37:B37"/>
    <mergeCell ref="J37:L37"/>
    <mergeCell ref="A35:B35"/>
    <mergeCell ref="J35:L35"/>
    <mergeCell ref="A36:B36"/>
    <mergeCell ref="J36:L36"/>
    <mergeCell ref="J27:L27"/>
    <mergeCell ref="J28:L28"/>
    <mergeCell ref="A33:B33"/>
    <mergeCell ref="J33:L33"/>
    <mergeCell ref="A27:B27"/>
    <mergeCell ref="A29:B29"/>
    <mergeCell ref="J29:L29"/>
    <mergeCell ref="A34:B34"/>
    <mergeCell ref="J34:L34"/>
    <mergeCell ref="A32:B32"/>
    <mergeCell ref="J32:L32"/>
    <mergeCell ref="J18:L18"/>
    <mergeCell ref="A21:B21"/>
    <mergeCell ref="J21:L21"/>
    <mergeCell ref="A23:B23"/>
    <mergeCell ref="A28:B28"/>
    <mergeCell ref="J23:L23"/>
    <mergeCell ref="A22:B22"/>
    <mergeCell ref="J25:L25"/>
    <mergeCell ref="A24:B24"/>
    <mergeCell ref="J24:L24"/>
    <mergeCell ref="G15:H15"/>
    <mergeCell ref="A19:B19"/>
    <mergeCell ref="J22:L22"/>
    <mergeCell ref="A25:B25"/>
    <mergeCell ref="A6:L6"/>
    <mergeCell ref="A7:L7"/>
    <mergeCell ref="A8:L8"/>
    <mergeCell ref="A9:L9"/>
    <mergeCell ref="A10:L10"/>
    <mergeCell ref="J19:L19"/>
    <mergeCell ref="A17:B17"/>
    <mergeCell ref="J17:L17"/>
    <mergeCell ref="A14:B16"/>
    <mergeCell ref="A18:B18"/>
    <mergeCell ref="J30:L30"/>
    <mergeCell ref="A236:B236"/>
    <mergeCell ref="K215:L215"/>
    <mergeCell ref="G234:K234"/>
    <mergeCell ref="G235:K235"/>
    <mergeCell ref="G236:K236"/>
    <mergeCell ref="A84:B84"/>
    <mergeCell ref="A235:B235"/>
    <mergeCell ref="A78:B78"/>
    <mergeCell ref="J78:L78"/>
    <mergeCell ref="A26:B26"/>
    <mergeCell ref="A30:B30"/>
    <mergeCell ref="A31:B31"/>
    <mergeCell ref="C14:C16"/>
    <mergeCell ref="E14:I14"/>
    <mergeCell ref="J15:L15"/>
    <mergeCell ref="G16:H16"/>
    <mergeCell ref="J16:L16"/>
    <mergeCell ref="A20:B20"/>
    <mergeCell ref="J20:L20"/>
    <mergeCell ref="J14:L14"/>
    <mergeCell ref="C236:F236"/>
    <mergeCell ref="A234:B234"/>
    <mergeCell ref="A68:B68"/>
    <mergeCell ref="G208:H208"/>
    <mergeCell ref="H209:H210"/>
    <mergeCell ref="A69:B69"/>
    <mergeCell ref="A87:B87"/>
    <mergeCell ref="A86:B86"/>
    <mergeCell ref="A70:B70"/>
    <mergeCell ref="J98:J100"/>
    <mergeCell ref="C234:F234"/>
    <mergeCell ref="C235:F235"/>
    <mergeCell ref="J86:L86"/>
    <mergeCell ref="J84:L84"/>
    <mergeCell ref="K124:L124"/>
    <mergeCell ref="K126:L126"/>
    <mergeCell ref="A134:L134"/>
    <mergeCell ref="A182:B182"/>
    <mergeCell ref="A91:B91"/>
    <mergeCell ref="J73:L73"/>
    <mergeCell ref="A66:B66"/>
    <mergeCell ref="J66:L66"/>
    <mergeCell ref="J69:L69"/>
    <mergeCell ref="J68:L68"/>
    <mergeCell ref="J70:L70"/>
    <mergeCell ref="G95:H95"/>
    <mergeCell ref="A83:B83"/>
    <mergeCell ref="J77:L77"/>
    <mergeCell ref="K105:L105"/>
    <mergeCell ref="K107:L107"/>
    <mergeCell ref="K106:L106"/>
    <mergeCell ref="K108:L108"/>
    <mergeCell ref="A136:L136"/>
    <mergeCell ref="K122:L122"/>
    <mergeCell ref="K123:L123"/>
    <mergeCell ref="K120:L120"/>
    <mergeCell ref="K125:L125"/>
    <mergeCell ref="K121:L121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1" r:id="rId2"/>
  <rowBreaks count="1" manualBreakCount="1">
    <brk id="127" max="11" man="1"/>
  </rowBreaks>
  <ignoredErrors>
    <ignoredError sqref="F115:F117 F120:G120 F102:F104 F216:F217 F212:F214 E149 D120 F75 F81 F77 H91 I212:I213 F78 F79 F80 I115:J115 I120:I123 I102 E188:E191 K217 E193:E195 E196 G106 E83 E77 E58 E23 E59:E62 E78:E80 E84:E88 E25:E28 E33 E38 E44 E52 E65 E67 E69:E70 D106:D108 E72:E74 E75 E158:E172 G220 D220" formula="1"/>
    <ignoredError sqref="B103:C103 C118 K103:L103 B109:E109 K109 L115 L123 L116 B121:C121 B122:C122 L117 L120 D103:E103 C77:D77 C154:D154 C28:D28 C202:D202 H28 H62 H77 H103 H107:J107 H108:H109 J103 H154 H188 I104 I105 I106 C67:D67" formulaRange="1"/>
    <ignoredError sqref="F109:G109 G103 F105:F108 F110:F112 F113 I110:I114 I108:J109 I103 F144 F28:F31 F44:F45 F58:F59 F83 F70:F74 F67:F68 F93 F61:F62 F91 F47 F64" formula="1" formulaRange="1"/>
    <ignoredError sqref="F32 F23:F27 F35:F43 F48:F49 F57 F65:F66 F145:F159 F164:F174 F183 I23:I24 I28:I32 I35:I49 I56:I59 I61:I62 I66:I68 I74 F17:F21 I17:I21 I83:I91 F143 I64 I52:I55 F52:F55 I183:I206 I143:I181 F178:F181" evalError="1"/>
    <ignoredError sqref="F144 F28:F31 F44:F45 F58:F59 F83 F70:F74 F67:F68 F93 F61:F62 F91 F47 F6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2023-01-24T14:32:15Z</cp:lastPrinted>
  <dcterms:created xsi:type="dcterms:W3CDTF">2005-03-07T15:54:32Z</dcterms:created>
  <dcterms:modified xsi:type="dcterms:W3CDTF">2023-01-30T18:49:12Z</dcterms:modified>
  <cp:category/>
  <cp:version/>
  <cp:contentType/>
  <cp:contentStatus/>
</cp:coreProperties>
</file>