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Orçamentário'!$A$1:$L$234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<sst xmlns="http://schemas.openxmlformats.org/spreadsheetml/2006/main" count="286" uniqueCount="153">
  <si>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</si>
  <si>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</si>
  <si>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</si>
  <si>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</si>
  <si>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</si>
  <si>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</si>
  <si>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</si>
  <si>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</si>
  <si>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</si>
  <si>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</si>
  <si>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</si>
  <si>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</si>
  <si>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</si>
  <si>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</si>
  <si>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</si>
  <si>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</si>
  <si>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</si>
  <si>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</si>
  <si>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</si>
  <si>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</si>
  <si>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</si>
  <si>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</si>
  <si>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</si>
  <si>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</si>
  <si>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</si>
  <si>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</si>
  <si>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</si>
  <si>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</si>
  <si>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</si>
  <si>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COM REFINANCIAMENTO (V) = (III + IV)</t>
  </si>
  <si>
    <t>DÉFICIT (VI)</t>
  </si>
  <si>
    <t>TOTAL (VII) = (V + VI)</t>
  </si>
  <si>
    <t>SUBTOTAL DAS DESPESAS (X) = (VIII + IX)</t>
  </si>
  <si>
    <t>TOTAL (XIV) = (XII + XIII)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</si>
  <si>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</si>
  <si>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</si>
  <si>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</si>
  <si>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</si>
  <si>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</si>
  <si>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</si>
  <si>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</si>
  <si>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</si>
  <si>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</si>
  <si>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</si>
  <si>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</si>
  <si>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</si>
  <si>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</si>
  <si>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</si>
  <si>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</si>
  <si>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</si>
  <si>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</si>
  <si>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</si>
  <si>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</si>
  <si>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</si>
  <si>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</si>
  <si>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</si>
  <si>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</si>
  <si>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</si>
  <si>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</si>
  <si>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</si>
  <si>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</si>
  <si>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</si>
  <si>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</si>
  <si>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</si>
  <si>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</si>
  <si>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</si>
  <si>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</si>
  <si>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</si>
  <si>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</si>
  <si>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C/ REFINANCIAMENTO (XII) = (X + XI)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</si>
  <si>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</si>
  <si>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</si>
  <si>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</si>
  <si>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</si>
  <si>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</si>
  <si>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</si>
  <si>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</si>
  <si>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SALDOS DE EXERCÍCIOS ANTERIORES (UTILIZADOS PARA CRÉDITOS ADICIONAIS)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</si>
  <si>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</si>
  <si>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</si>
  <si>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</si>
  <si>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</si>
  <si>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</si>
  <si>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</si>
  <si>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</si>
  <si>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</si>
  <si>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</si>
  <si>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</si>
  <si>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 xml:space="preserve">           Transferências a Municípios</t>
  </si>
  <si>
    <t xml:space="preserve">           Demais Despesas Correntes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</si>
  <si>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</si>
  <si>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</si>
  <si>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</si>
  <si>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</si>
  <si>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</si>
  <si>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</si>
  <si>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</si>
  <si>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</si>
  <si>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</si>
  <si>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</si>
  <si>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</si>
  <si>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</si>
  <si>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</si>
  <si>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</si>
  <si>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</si>
  <si>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</si>
  <si>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</si>
  <si>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</si>
  <si>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</si>
  <si>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</si>
  <si>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</si>
  <si>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</si>
  <si>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</si>
  <si>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</si>
  <si>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</si>
  <si>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</si>
  <si>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</si>
  <si>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</si>
  <si>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</si>
  <si>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</si>
  <si>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</si>
  <si>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</si>
  <si>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</si>
  <si>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</si>
  <si>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</si>
  <si>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</si>
  <si>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</si>
  <si>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</si>
  <si>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</si>
  <si>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</si>
  <si>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</si>
  <si>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</si>
  <si>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</si>
  <si>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</si>
  <si>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</si>
  <si>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</si>
  <si>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</si>
  <si>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</si>
  <si>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</si>
  <si>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    IMPOSTOS, TAXAS E CONTRIBUIÇÕES DE MELHORIA</t>
  </si>
  <si>
    <t>Contribuição de Melhoria</t>
  </si>
  <si>
    <t xml:space="preserve">  JUROS E ENCARGOS DA DÍVIDA</t>
  </si>
  <si>
    <r>
      <t>INSCRITAS EM RESTOS A PAGAR NÃO PROCESSADOS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(k) </t>
    </r>
  </si>
  <si>
    <t>Até o 
Bimestre</t>
  </si>
  <si>
    <t xml:space="preserve">INSCRITAS EM RESTOS A PAGAR NÃO PROCESSADOS                           (K)         </t>
  </si>
  <si>
    <t>-</t>
  </si>
  <si>
    <t xml:space="preserve">            Contribuições de Melhoria</t>
  </si>
  <si>
    <t>JANEIRO A DEZEMBRO 2020/BIMESTRE NOVEMBRO-DEZEMBRO</t>
  </si>
  <si>
    <t>Obs.:1 - Excluídas a Imprensa Oficial, a CEDAE e a AGERIO por não se enquadrarem no conceito de Empresa Dependente.</t>
  </si>
  <si>
    <t xml:space="preserve">            2 - Imprensa Oficial, CEDAE e AGERIO não constam nos Orçamentos Fiscal e da Seguridade Social no exercício de 2020.</t>
  </si>
  <si>
    <t xml:space="preserve">            3 - A diferença de R$ 10.725.391.369,00 (Dez bilhões, setecentos e vinte e cinco milhões, trezentos e noventa e um mil e trezentos e sessenta e nove reais) entre a Previsão Inicial da Receita e a Dotação Inicial da Despesa é referente ao "Déficit do Orçamento" considerado na Lei Orçamentária Anual de 2020.</t>
  </si>
  <si>
    <t xml:space="preserve">  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</si>
  <si>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Emissão: 22/01/2021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</si>
</sst>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47" applyNumberFormat="1" applyFont="1" applyFill="1" applyAlignment="1">
      <alignment/>
      <protection/>
    </xf>
    <xf numFmtId="0" fontId="2" fillId="0" borderId="0" xfId="47" applyNumberFormat="1" applyFont="1" applyFill="1" applyAlignment="1">
      <alignment/>
      <protection/>
    </xf>
    <xf numFmtId="0" fontId="3" fillId="0" borderId="0" xfId="47" applyNumberFormat="1" applyFont="1" applyFill="1" applyAlignment="1">
      <alignment/>
      <protection/>
    </xf>
    <xf numFmtId="0" fontId="4" fillId="0" borderId="0" xfId="47" applyNumberFormat="1" applyFont="1" applyFill="1" applyAlignment="1">
      <alignment/>
      <protection/>
    </xf>
    <xf numFmtId="49" fontId="4" fillId="0" borderId="0" xfId="47" applyNumberFormat="1" applyFont="1" applyFill="1" applyAlignment="1">
      <alignment horizontal="center"/>
      <protection/>
    </xf>
    <xf numFmtId="49" fontId="3" fillId="0" borderId="0" xfId="47" applyNumberFormat="1" applyFont="1" applyFill="1" applyAlignment="1">
      <alignment horizontal="center"/>
      <protection/>
    </xf>
    <xf numFmtId="0" fontId="3" fillId="0" borderId="0" xfId="47" applyNumberFormat="1" applyFont="1" applyFill="1" applyAlignment="1">
      <alignment horizontal="center"/>
      <protection/>
    </xf>
    <xf numFmtId="49" fontId="3" fillId="0" borderId="0" xfId="47" applyNumberFormat="1" applyFont="1" applyFill="1" applyAlignment="1">
      <alignment/>
      <protection/>
    </xf>
    <xf numFmtId="0" fontId="3" fillId="0" borderId="0" xfId="47" applyFont="1" applyFill="1" applyBorder="1" applyAlignment="1">
      <alignment/>
      <protection/>
    </xf>
    <xf numFmtId="0" fontId="3" fillId="0" borderId="0" xfId="47" applyFont="1" applyFill="1" applyAlignment="1">
      <alignment/>
      <protection/>
    </xf>
    <xf numFmtId="172" fontId="3" fillId="0" borderId="0" xfId="47" applyNumberFormat="1" applyFont="1" applyFill="1" applyAlignment="1">
      <alignment/>
      <protection/>
    </xf>
    <xf numFmtId="0" fontId="3" fillId="0" borderId="0" xfId="47" applyFont="1" applyFill="1" applyAlignment="1">
      <alignment horizontal="right"/>
      <protection/>
    </xf>
    <xf numFmtId="167" fontId="3" fillId="0" borderId="0" xfId="47" applyNumberFormat="1" applyFont="1" applyFill="1" applyAlignment="1">
      <alignment horizontal="right"/>
      <protection/>
    </xf>
    <xf numFmtId="180" fontId="1" fillId="33" borderId="10" xfId="63" applyNumberFormat="1" applyFont="1" applyFill="1" applyBorder="1" applyAlignment="1">
      <alignment horizontal="right"/>
    </xf>
    <xf numFmtId="3" fontId="3" fillId="0" borderId="0" xfId="47" applyNumberFormat="1" applyFont="1" applyFill="1" applyAlignment="1">
      <alignment/>
      <protection/>
    </xf>
    <xf numFmtId="169" fontId="1" fillId="33" borderId="11" xfId="64" applyNumberFormat="1" applyFont="1" applyFill="1" applyBorder="1" applyAlignment="1">
      <alignment horizontal="right"/>
    </xf>
    <xf numFmtId="180" fontId="1" fillId="33" borderId="12" xfId="63" applyNumberFormat="1" applyFont="1" applyFill="1" applyBorder="1" applyAlignment="1">
      <alignment horizontal="right"/>
    </xf>
    <xf numFmtId="174" fontId="3" fillId="0" borderId="0" xfId="47" applyNumberFormat="1" applyFont="1" applyFill="1" applyAlignment="1">
      <alignment/>
      <protection/>
    </xf>
    <xf numFmtId="169" fontId="3" fillId="33" borderId="11" xfId="64" applyNumberFormat="1" applyFont="1" applyFill="1" applyBorder="1" applyAlignment="1">
      <alignment horizontal="right"/>
    </xf>
    <xf numFmtId="169" fontId="3" fillId="33" borderId="12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2" xfId="63" applyNumberFormat="1" applyFont="1" applyFill="1" applyBorder="1" applyAlignment="1">
      <alignment horizontal="right"/>
    </xf>
    <xf numFmtId="174" fontId="46" fillId="0" borderId="0" xfId="47" applyNumberFormat="1" applyFont="1" applyFill="1" applyAlignment="1">
      <alignment/>
      <protection/>
    </xf>
    <xf numFmtId="169" fontId="3" fillId="0" borderId="0" xfId="47" applyNumberFormat="1" applyFont="1" applyFill="1" applyAlignment="1">
      <alignment/>
      <protection/>
    </xf>
    <xf numFmtId="171" fontId="3" fillId="33" borderId="12" xfId="63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69" fontId="3" fillId="33" borderId="11" xfId="64" applyNumberFormat="1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/>
    </xf>
    <xf numFmtId="169" fontId="3" fillId="33" borderId="15" xfId="64" applyNumberFormat="1" applyFont="1" applyFill="1" applyBorder="1" applyAlignment="1">
      <alignment horizontal="right"/>
    </xf>
    <xf numFmtId="180" fontId="3" fillId="33" borderId="15" xfId="63" applyNumberFormat="1" applyFont="1" applyFill="1" applyBorder="1" applyAlignment="1">
      <alignment horizontal="right"/>
    </xf>
    <xf numFmtId="180" fontId="1" fillId="33" borderId="15" xfId="63" applyNumberFormat="1" applyFont="1" applyFill="1" applyBorder="1" applyAlignment="1">
      <alignment horizontal="right"/>
    </xf>
    <xf numFmtId="169" fontId="46" fillId="0" borderId="0" xfId="47" applyNumberFormat="1" applyFont="1" applyFill="1" applyAlignment="1">
      <alignment/>
      <protection/>
    </xf>
    <xf numFmtId="169" fontId="1" fillId="33" borderId="13" xfId="63" applyNumberFormat="1" applyFont="1" applyFill="1" applyBorder="1" applyAlignment="1">
      <alignment horizontal="right"/>
    </xf>
    <xf numFmtId="169" fontId="46" fillId="33" borderId="0" xfId="47" applyNumberFormat="1" applyFont="1" applyFill="1" applyAlignment="1">
      <alignment wrapText="1"/>
      <protection/>
    </xf>
    <xf numFmtId="169" fontId="3" fillId="33" borderId="13" xfId="64" applyNumberFormat="1" applyFont="1" applyFill="1" applyBorder="1" applyAlignment="1">
      <alignment horizontal="right"/>
    </xf>
    <xf numFmtId="169" fontId="3" fillId="33" borderId="13" xfId="64" applyNumberFormat="1" applyFont="1" applyFill="1" applyBorder="1" applyAlignment="1">
      <alignment horizontal="right" vertical="center"/>
    </xf>
    <xf numFmtId="0" fontId="2" fillId="33" borderId="0" xfId="47" applyFont="1" applyFill="1" applyBorder="1">
      <alignment/>
      <protection/>
    </xf>
    <xf numFmtId="37" fontId="2" fillId="33" borderId="0" xfId="47" applyNumberFormat="1" applyFont="1" applyFill="1" applyBorder="1" applyAlignment="1">
      <alignment horizontal="center"/>
      <protection/>
    </xf>
    <xf numFmtId="0" fontId="2" fillId="33" borderId="0" xfId="47" applyNumberFormat="1" applyFont="1" applyFill="1" applyBorder="1" applyAlignment="1">
      <alignment horizontal="center"/>
      <protection/>
    </xf>
    <xf numFmtId="0" fontId="2" fillId="33" borderId="0" xfId="47" applyFont="1" applyFill="1" applyBorder="1" applyAlignment="1">
      <alignment horizontal="center"/>
      <protection/>
    </xf>
    <xf numFmtId="37" fontId="2" fillId="33" borderId="0" xfId="47" applyNumberFormat="1" applyFont="1" applyFill="1" applyBorder="1" applyAlignment="1">
      <alignment horizontal="center" vertical="center"/>
      <protection/>
    </xf>
    <xf numFmtId="37" fontId="3" fillId="33" borderId="0" xfId="47" applyNumberFormat="1" applyFont="1" applyFill="1" applyBorder="1" applyAlignment="1">
      <alignment horizontal="center" vertical="center"/>
      <protection/>
    </xf>
    <xf numFmtId="169" fontId="3" fillId="33" borderId="16" xfId="64" applyNumberFormat="1" applyFont="1" applyFill="1" applyBorder="1" applyAlignment="1">
      <alignment horizontal="right"/>
    </xf>
    <xf numFmtId="4" fontId="1" fillId="0" borderId="0" xfId="47" applyNumberFormat="1" applyFont="1" applyFill="1" applyAlignment="1">
      <alignment/>
      <protection/>
    </xf>
    <xf numFmtId="4" fontId="3" fillId="0" borderId="0" xfId="47" applyNumberFormat="1" applyFont="1" applyFill="1" applyAlignment="1">
      <alignment/>
      <protection/>
    </xf>
    <xf numFmtId="43" fontId="3" fillId="0" borderId="0" xfId="47" applyNumberFormat="1" applyFont="1" applyFill="1" applyAlignment="1">
      <alignment/>
      <protection/>
    </xf>
    <xf numFmtId="0" fontId="2" fillId="0" borderId="0" xfId="0" applyFont="1" applyAlignment="1">
      <alignment/>
    </xf>
    <xf numFmtId="169" fontId="1" fillId="33" borderId="17" xfId="64" applyNumberFormat="1" applyFont="1" applyFill="1" applyBorder="1" applyAlignment="1">
      <alignment horizontal="right"/>
    </xf>
    <xf numFmtId="169" fontId="3" fillId="33" borderId="18" xfId="64" applyNumberFormat="1" applyFont="1" applyFill="1" applyBorder="1" applyAlignment="1">
      <alignment horizontal="right"/>
    </xf>
    <xf numFmtId="169" fontId="3" fillId="33" borderId="15" xfId="47" applyNumberFormat="1" applyFont="1" applyFill="1" applyBorder="1" applyAlignment="1">
      <alignment/>
      <protection/>
    </xf>
    <xf numFmtId="171" fontId="3" fillId="0" borderId="0" xfId="63" applyFont="1" applyFill="1" applyAlignment="1">
      <alignment/>
    </xf>
    <xf numFmtId="0" fontId="6" fillId="33" borderId="0" xfId="47" applyFont="1" applyFill="1" applyBorder="1">
      <alignment/>
      <protection/>
    </xf>
    <xf numFmtId="37" fontId="6" fillId="33" borderId="0" xfId="47" applyNumberFormat="1" applyFont="1" applyFill="1" applyBorder="1" applyAlignment="1">
      <alignment horizontal="center"/>
      <protection/>
    </xf>
    <xf numFmtId="169" fontId="6" fillId="33" borderId="0" xfId="47" applyNumberFormat="1" applyFont="1" applyFill="1" applyBorder="1" applyAlignment="1">
      <alignment horizontal="center"/>
      <protection/>
    </xf>
    <xf numFmtId="0" fontId="6" fillId="33" borderId="0" xfId="47" applyNumberFormat="1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37" fontId="6" fillId="33" borderId="0" xfId="47" applyNumberFormat="1" applyFont="1" applyFill="1" applyBorder="1" applyAlignment="1">
      <alignment horizontal="center" vertical="center"/>
      <protection/>
    </xf>
    <xf numFmtId="37" fontId="3" fillId="33" borderId="0" xfId="47" applyNumberFormat="1" applyFont="1" applyFill="1" applyBorder="1" applyAlignment="1">
      <alignment horizontal="right" vertical="center"/>
      <protection/>
    </xf>
    <xf numFmtId="49" fontId="4" fillId="33" borderId="0" xfId="47" applyNumberFormat="1" applyFont="1" applyFill="1" applyAlignment="1">
      <alignment horizontal="center"/>
      <protection/>
    </xf>
    <xf numFmtId="0" fontId="4" fillId="33" borderId="0" xfId="47" applyNumberFormat="1" applyFont="1" applyFill="1" applyAlignment="1">
      <alignment horizontal="center"/>
      <protection/>
    </xf>
    <xf numFmtId="49" fontId="3" fillId="33" borderId="0" xfId="47" applyNumberFormat="1" applyFont="1" applyFill="1" applyAlignment="1">
      <alignment horizontal="center"/>
      <protection/>
    </xf>
    <xf numFmtId="0" fontId="3" fillId="33" borderId="0" xfId="47" applyNumberFormat="1" applyFont="1" applyFill="1" applyAlignment="1">
      <alignment horizontal="center"/>
      <protection/>
    </xf>
    <xf numFmtId="49" fontId="3" fillId="33" borderId="0" xfId="47" applyNumberFormat="1" applyFont="1" applyFill="1" applyAlignment="1">
      <alignment/>
      <protection/>
    </xf>
    <xf numFmtId="0" fontId="3" fillId="33" borderId="0" xfId="47" applyFont="1" applyFill="1" applyBorder="1" applyAlignment="1">
      <alignment/>
      <protection/>
    </xf>
    <xf numFmtId="167" fontId="3" fillId="33" borderId="0" xfId="47" applyNumberFormat="1" applyFont="1" applyFill="1" applyAlignment="1">
      <alignment horizontal="right"/>
      <protection/>
    </xf>
    <xf numFmtId="0" fontId="3" fillId="33" borderId="0" xfId="47" applyNumberFormat="1" applyFont="1" applyFill="1" applyAlignment="1">
      <alignment/>
      <protection/>
    </xf>
    <xf numFmtId="169" fontId="3" fillId="33" borderId="19" xfId="64" applyNumberFormat="1" applyFont="1" applyFill="1" applyBorder="1" applyAlignment="1">
      <alignment horizontal="right"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7" applyFont="1" applyFill="1" applyBorder="1" applyAlignment="1">
      <alignment horizontal="left" vertical="center"/>
      <protection/>
    </xf>
    <xf numFmtId="169" fontId="3" fillId="0" borderId="0" xfId="47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7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7" applyFont="1" applyFill="1" applyBorder="1" applyAlignment="1">
      <alignment horizontal="left" vertical="center"/>
      <protection/>
    </xf>
    <xf numFmtId="0" fontId="47" fillId="0" borderId="0" xfId="47" applyFont="1" applyFill="1" applyBorder="1" applyAlignment="1">
      <alignment horizontal="left" vertical="center"/>
      <protection/>
    </xf>
    <xf numFmtId="0" fontId="6" fillId="0" borderId="0" xfId="47" applyNumberFormat="1" applyFont="1" applyFill="1" applyAlignment="1">
      <alignment/>
      <protection/>
    </xf>
    <xf numFmtId="49" fontId="1" fillId="34" borderId="10" xfId="47" applyNumberFormat="1" applyFont="1" applyFill="1" applyBorder="1" applyAlignment="1">
      <alignment horizontal="center" vertical="center" wrapText="1"/>
      <protection/>
    </xf>
    <xf numFmtId="49" fontId="1" fillId="34" borderId="12" xfId="47" applyNumberFormat="1" applyFont="1" applyFill="1" applyBorder="1" applyAlignment="1">
      <alignment horizontal="center" vertical="center" wrapText="1"/>
      <protection/>
    </xf>
    <xf numFmtId="49" fontId="1" fillId="34" borderId="10" xfId="47" applyNumberFormat="1" applyFont="1" applyFill="1" applyBorder="1" applyAlignment="1">
      <alignment horizontal="center"/>
      <protection/>
    </xf>
    <xf numFmtId="49" fontId="1" fillId="34" borderId="15" xfId="47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171" fontId="6" fillId="33" borderId="0" xfId="63" applyFont="1" applyFill="1" applyBorder="1" applyAlignment="1">
      <alignment horizontal="center"/>
    </xf>
    <xf numFmtId="0" fontId="1" fillId="34" borderId="10" xfId="47" applyNumberFormat="1" applyFont="1" applyFill="1" applyBorder="1" applyAlignment="1">
      <alignment horizontal="center"/>
      <protection/>
    </xf>
    <xf numFmtId="0" fontId="1" fillId="34" borderId="12" xfId="47" applyNumberFormat="1" applyFont="1" applyFill="1" applyBorder="1" applyAlignment="1">
      <alignment horizontal="center"/>
      <protection/>
    </xf>
    <xf numFmtId="0" fontId="1" fillId="34" borderId="16" xfId="47" applyNumberFormat="1" applyFont="1" applyFill="1" applyBorder="1" applyAlignment="1">
      <alignment horizontal="center" wrapText="1"/>
      <protection/>
    </xf>
    <xf numFmtId="0" fontId="1" fillId="34" borderId="16" xfId="47" applyNumberFormat="1" applyFont="1" applyFill="1" applyBorder="1" applyAlignment="1">
      <alignment horizontal="center"/>
      <protection/>
    </xf>
    <xf numFmtId="0" fontId="1" fillId="34" borderId="15" xfId="47" applyNumberFormat="1" applyFont="1" applyFill="1" applyBorder="1" applyAlignment="1">
      <alignment horizontal="center"/>
      <protection/>
    </xf>
    <xf numFmtId="0" fontId="1" fillId="34" borderId="18" xfId="47" applyNumberFormat="1" applyFont="1" applyFill="1" applyBorder="1" applyAlignment="1">
      <alignment horizontal="center"/>
      <protection/>
    </xf>
    <xf numFmtId="178" fontId="6" fillId="0" borderId="0" xfId="47" applyNumberFormat="1" applyFont="1" applyFill="1" applyBorder="1" applyAlignment="1">
      <alignment horizontal="left" vertical="center"/>
      <protection/>
    </xf>
    <xf numFmtId="169" fontId="6" fillId="0" borderId="0" xfId="47" applyNumberFormat="1" applyFont="1" applyFill="1" applyBorder="1" applyAlignment="1">
      <alignment horizontal="left" vertical="center"/>
      <protection/>
    </xf>
    <xf numFmtId="169" fontId="2" fillId="0" borderId="0" xfId="47" applyNumberFormat="1" applyFont="1" applyFill="1" applyAlignment="1">
      <alignment/>
      <protection/>
    </xf>
    <xf numFmtId="0" fontId="3" fillId="33" borderId="0" xfId="47" applyNumberFormat="1" applyFont="1" applyFill="1" applyAlignment="1">
      <alignment horizontal="right"/>
      <protection/>
    </xf>
    <xf numFmtId="169" fontId="3" fillId="33" borderId="0" xfId="64" applyNumberFormat="1" applyFont="1" applyFill="1" applyBorder="1" applyAlignment="1">
      <alignment horizontal="right"/>
    </xf>
    <xf numFmtId="0" fontId="1" fillId="34" borderId="17" xfId="47" applyNumberFormat="1" applyFont="1" applyFill="1" applyBorder="1" applyAlignment="1">
      <alignment horizontal="center"/>
      <protection/>
    </xf>
    <xf numFmtId="0" fontId="1" fillId="34" borderId="16" xfId="47" applyNumberFormat="1" applyFont="1" applyFill="1" applyBorder="1" applyAlignment="1">
      <alignment horizontal="center"/>
      <protection/>
    </xf>
    <xf numFmtId="0" fontId="1" fillId="34" borderId="18" xfId="47" applyNumberFormat="1" applyFont="1" applyFill="1" applyBorder="1" applyAlignment="1">
      <alignment horizontal="center"/>
      <protection/>
    </xf>
    <xf numFmtId="169" fontId="1" fillId="33" borderId="20" xfId="64" applyNumberFormat="1" applyFont="1" applyFill="1" applyBorder="1" applyAlignment="1">
      <alignment horizontal="right"/>
    </xf>
    <xf numFmtId="169" fontId="1" fillId="33" borderId="21" xfId="64" applyNumberFormat="1" applyFont="1" applyFill="1" applyBorder="1" applyAlignment="1">
      <alignment/>
    </xf>
    <xf numFmtId="169" fontId="3" fillId="33" borderId="11" xfId="64" applyNumberFormat="1" applyFont="1" applyFill="1" applyBorder="1" applyAlignment="1">
      <alignment/>
    </xf>
    <xf numFmtId="169" fontId="1" fillId="33" borderId="22" xfId="64" applyNumberFormat="1" applyFont="1" applyFill="1" applyBorder="1" applyAlignment="1">
      <alignment/>
    </xf>
    <xf numFmtId="169" fontId="3" fillId="33" borderId="19" xfId="64" applyNumberFormat="1" applyFont="1" applyFill="1" applyBorder="1" applyAlignment="1">
      <alignment/>
    </xf>
    <xf numFmtId="169" fontId="3" fillId="33" borderId="12" xfId="64" applyNumberFormat="1" applyFont="1" applyFill="1" applyBorder="1" applyAlignment="1">
      <alignment/>
    </xf>
    <xf numFmtId="169" fontId="3" fillId="33" borderId="15" xfId="64" applyNumberFormat="1" applyFont="1" applyFill="1" applyBorder="1" applyAlignment="1">
      <alignment/>
    </xf>
    <xf numFmtId="0" fontId="1" fillId="34" borderId="19" xfId="47" applyNumberFormat="1" applyFont="1" applyFill="1" applyBorder="1" applyAlignment="1">
      <alignment horizontal="center"/>
      <protection/>
    </xf>
    <xf numFmtId="174" fontId="3" fillId="33" borderId="16" xfId="63" applyNumberFormat="1" applyFont="1" applyFill="1" applyBorder="1" applyAlignment="1">
      <alignment/>
    </xf>
    <xf numFmtId="174" fontId="3" fillId="33" borderId="11" xfId="63" applyNumberFormat="1" applyFont="1" applyFill="1" applyBorder="1" applyAlignment="1">
      <alignment/>
    </xf>
    <xf numFmtId="174" fontId="1" fillId="33" borderId="17" xfId="63" applyNumberFormat="1" applyFont="1" applyFill="1" applyBorder="1" applyAlignment="1">
      <alignment/>
    </xf>
    <xf numFmtId="174" fontId="1" fillId="33" borderId="16" xfId="63" applyNumberFormat="1" applyFont="1" applyFill="1" applyBorder="1" applyAlignment="1">
      <alignment/>
    </xf>
    <xf numFmtId="174" fontId="1" fillId="33" borderId="11" xfId="63" applyNumberFormat="1" applyFont="1" applyFill="1" applyBorder="1" applyAlignment="1">
      <alignment/>
    </xf>
    <xf numFmtId="169" fontId="3" fillId="33" borderId="16" xfId="64" applyNumberFormat="1" applyFont="1" applyFill="1" applyBorder="1" applyAlignment="1">
      <alignment/>
    </xf>
    <xf numFmtId="169" fontId="1" fillId="33" borderId="16" xfId="64" applyNumberFormat="1" applyFont="1" applyFill="1" applyBorder="1" applyAlignment="1">
      <alignment/>
    </xf>
    <xf numFmtId="169" fontId="1" fillId="33" borderId="18" xfId="64" applyNumberFormat="1" applyFont="1" applyFill="1" applyBorder="1" applyAlignment="1">
      <alignment/>
    </xf>
    <xf numFmtId="169" fontId="1" fillId="33" borderId="23" xfId="64" applyNumberFormat="1" applyFont="1" applyFill="1" applyBorder="1" applyAlignment="1">
      <alignment/>
    </xf>
    <xf numFmtId="169" fontId="1" fillId="33" borderId="17" xfId="64" applyNumberFormat="1" applyFont="1" applyFill="1" applyBorder="1" applyAlignment="1">
      <alignment/>
    </xf>
    <xf numFmtId="169" fontId="3" fillId="33" borderId="18" xfId="64" applyNumberFormat="1" applyFont="1" applyFill="1" applyBorder="1" applyAlignment="1">
      <alignment/>
    </xf>
    <xf numFmtId="169" fontId="1" fillId="33" borderId="23" xfId="63" applyNumberFormat="1" applyFont="1" applyFill="1" applyBorder="1" applyAlignment="1">
      <alignment/>
    </xf>
    <xf numFmtId="169" fontId="3" fillId="33" borderId="23" xfId="63" applyNumberFormat="1" applyFont="1" applyFill="1" applyBorder="1" applyAlignment="1">
      <alignment wrapText="1"/>
    </xf>
    <xf numFmtId="169" fontId="2" fillId="0" borderId="0" xfId="0" applyNumberFormat="1" applyFont="1" applyAlignment="1">
      <alignment/>
    </xf>
    <xf numFmtId="174" fontId="3" fillId="33" borderId="18" xfId="63" applyNumberFormat="1" applyFont="1" applyFill="1" applyBorder="1" applyAlignment="1">
      <alignment/>
    </xf>
    <xf numFmtId="174" fontId="3" fillId="33" borderId="19" xfId="63" applyNumberFormat="1" applyFont="1" applyFill="1" applyBorder="1" applyAlignment="1">
      <alignment/>
    </xf>
    <xf numFmtId="169" fontId="3" fillId="33" borderId="0" xfId="47" applyNumberFormat="1" applyFont="1" applyFill="1" applyAlignment="1">
      <alignment horizontal="center"/>
      <protection/>
    </xf>
    <xf numFmtId="0" fontId="6" fillId="0" borderId="0" xfId="47" applyFont="1" applyAlignment="1">
      <alignment horizontal="left" vertical="center"/>
      <protection/>
    </xf>
    <xf numFmtId="0" fontId="6" fillId="33" borderId="0" xfId="47" applyFont="1" applyFill="1" applyAlignment="1">
      <alignment horizontal="left" vertical="center"/>
      <protection/>
    </xf>
    <xf numFmtId="0" fontId="6" fillId="33" borderId="0" xfId="47" applyFont="1" applyFill="1" applyAlignment="1">
      <alignment horizontal="left" vertical="center" wrapText="1"/>
      <protection/>
    </xf>
    <xf numFmtId="169" fontId="6" fillId="0" borderId="0" xfId="47" applyNumberFormat="1" applyFont="1">
      <alignment/>
      <protection/>
    </xf>
    <xf numFmtId="0" fontId="6" fillId="33" borderId="0" xfId="47" applyFont="1" applyFill="1">
      <alignment/>
      <protection/>
    </xf>
    <xf numFmtId="180" fontId="3" fillId="33" borderId="11" xfId="64" applyNumberFormat="1" applyFont="1" applyFill="1" applyBorder="1" applyAlignment="1">
      <alignment horizontal="right"/>
    </xf>
    <xf numFmtId="180" fontId="1" fillId="33" borderId="21" xfId="64" applyNumberFormat="1" applyFont="1" applyFill="1" applyBorder="1" applyAlignment="1">
      <alignment horizontal="right"/>
    </xf>
    <xf numFmtId="180" fontId="1" fillId="33" borderId="10" xfId="64" applyNumberFormat="1" applyFont="1" applyFill="1" applyBorder="1" applyAlignment="1">
      <alignment horizontal="right"/>
    </xf>
    <xf numFmtId="180" fontId="1" fillId="33" borderId="0" xfId="64" applyNumberFormat="1" applyFont="1" applyFill="1" applyAlignment="1">
      <alignment horizontal="right"/>
    </xf>
    <xf numFmtId="180" fontId="1" fillId="33" borderId="11" xfId="64" applyNumberFormat="1" applyFont="1" applyFill="1" applyBorder="1" applyAlignment="1">
      <alignment horizontal="right"/>
    </xf>
    <xf numFmtId="180" fontId="1" fillId="33" borderId="12" xfId="64" applyNumberFormat="1" applyFont="1" applyFill="1" applyBorder="1" applyAlignment="1">
      <alignment horizontal="right"/>
    </xf>
    <xf numFmtId="180" fontId="3" fillId="33" borderId="12" xfId="64" applyNumberFormat="1" applyFont="1" applyFill="1" applyBorder="1" applyAlignment="1">
      <alignment horizontal="right"/>
    </xf>
    <xf numFmtId="180" fontId="3" fillId="33" borderId="0" xfId="64" applyNumberFormat="1" applyFont="1" applyFill="1" applyAlignment="1">
      <alignment horizontal="right"/>
    </xf>
    <xf numFmtId="180" fontId="1" fillId="33" borderId="22" xfId="64" applyNumberFormat="1" applyFont="1" applyFill="1" applyBorder="1" applyAlignment="1">
      <alignment horizontal="right"/>
    </xf>
    <xf numFmtId="180" fontId="1" fillId="33" borderId="13" xfId="64" applyNumberFormat="1" applyFont="1" applyFill="1" applyBorder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80" fontId="3" fillId="33" borderId="14" xfId="64" applyNumberFormat="1" applyFont="1" applyFill="1" applyBorder="1" applyAlignment="1">
      <alignment horizontal="right"/>
    </xf>
    <xf numFmtId="180" fontId="3" fillId="33" borderId="15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180" fontId="48" fillId="0" borderId="13" xfId="64" applyNumberFormat="1" applyFont="1" applyFill="1" applyBorder="1" applyAlignment="1">
      <alignment horizontal="right"/>
    </xf>
    <xf numFmtId="180" fontId="1" fillId="33" borderId="22" xfId="63" applyNumberFormat="1" applyFont="1" applyFill="1" applyBorder="1" applyAlignment="1">
      <alignment horizontal="right"/>
    </xf>
    <xf numFmtId="180" fontId="3" fillId="33" borderId="13" xfId="64" applyNumberFormat="1" applyFont="1" applyFill="1" applyBorder="1" applyAlignment="1">
      <alignment horizontal="right"/>
    </xf>
    <xf numFmtId="180" fontId="3" fillId="33" borderId="13" xfId="63" applyNumberFormat="1" applyFont="1" applyFill="1" applyBorder="1" applyAlignment="1">
      <alignment/>
    </xf>
    <xf numFmtId="180" fontId="3" fillId="33" borderId="22" xfId="64" applyNumberFormat="1" applyFont="1" applyFill="1" applyBorder="1" applyAlignment="1">
      <alignment horizontal="right"/>
    </xf>
    <xf numFmtId="180" fontId="1" fillId="33" borderId="16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0" fontId="6" fillId="0" borderId="0" xfId="47" applyFont="1">
      <alignment/>
      <protection/>
    </xf>
    <xf numFmtId="0" fontId="1" fillId="0" borderId="0" xfId="47" applyNumberFormat="1" applyFont="1" applyFill="1" applyBorder="1" applyAlignment="1">
      <alignment wrapText="1"/>
      <protection/>
    </xf>
    <xf numFmtId="0" fontId="1" fillId="0" borderId="0" xfId="47" applyNumberFormat="1" applyFont="1" applyFill="1" applyBorder="1" applyAlignment="1">
      <alignment/>
      <protection/>
    </xf>
    <xf numFmtId="0" fontId="3" fillId="0" borderId="0" xfId="47" applyNumberFormat="1" applyFont="1" applyFill="1" applyBorder="1" applyAlignment="1">
      <alignment/>
      <protection/>
    </xf>
    <xf numFmtId="49" fontId="3" fillId="0" borderId="11" xfId="47" applyNumberFormat="1" applyFont="1" applyFill="1" applyBorder="1" applyAlignment="1">
      <alignment/>
      <protection/>
    </xf>
    <xf numFmtId="0" fontId="1" fillId="0" borderId="24" xfId="47" applyNumberFormat="1" applyFont="1" applyFill="1" applyBorder="1" applyAlignment="1">
      <alignment/>
      <protection/>
    </xf>
    <xf numFmtId="0" fontId="1" fillId="0" borderId="21" xfId="47" applyNumberFormat="1" applyFont="1" applyFill="1" applyBorder="1" applyAlignment="1">
      <alignment wrapText="1"/>
      <protection/>
    </xf>
    <xf numFmtId="0" fontId="1" fillId="0" borderId="14" xfId="47" applyNumberFormat="1" applyFont="1" applyFill="1" applyBorder="1" applyAlignment="1">
      <alignment/>
      <protection/>
    </xf>
    <xf numFmtId="0" fontId="3" fillId="0" borderId="0" xfId="47" applyNumberFormat="1" applyFont="1" applyFill="1" applyBorder="1" applyAlignment="1">
      <alignment horizontal="left" indent="2"/>
      <protection/>
    </xf>
    <xf numFmtId="0" fontId="3" fillId="0" borderId="14" xfId="47" applyNumberFormat="1" applyFont="1" applyFill="1" applyBorder="1" applyAlignment="1">
      <alignment/>
      <protection/>
    </xf>
    <xf numFmtId="171" fontId="3" fillId="33" borderId="11" xfId="63" applyNumberFormat="1" applyFont="1" applyFill="1" applyBorder="1" applyAlignment="1">
      <alignment/>
    </xf>
    <xf numFmtId="180" fontId="1" fillId="33" borderId="19" xfId="64" applyNumberFormat="1" applyFont="1" applyFill="1" applyBorder="1" applyAlignment="1">
      <alignment/>
    </xf>
    <xf numFmtId="180" fontId="1" fillId="33" borderId="22" xfId="64" applyNumberFormat="1" applyFont="1" applyFill="1" applyBorder="1" applyAlignment="1">
      <alignment/>
    </xf>
    <xf numFmtId="180" fontId="3" fillId="33" borderId="11" xfId="64" applyNumberFormat="1" applyFont="1" applyFill="1" applyBorder="1" applyAlignment="1">
      <alignment/>
    </xf>
    <xf numFmtId="180" fontId="1" fillId="33" borderId="11" xfId="64" applyNumberFormat="1" applyFont="1" applyFill="1" applyBorder="1" applyAlignment="1">
      <alignment/>
    </xf>
    <xf numFmtId="171" fontId="3" fillId="33" borderId="11" xfId="64" applyNumberFormat="1" applyFont="1" applyFill="1" applyBorder="1" applyAlignment="1">
      <alignment/>
    </xf>
    <xf numFmtId="180" fontId="3" fillId="33" borderId="16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16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180" fontId="3" fillId="33" borderId="11" xfId="63" applyNumberFormat="1" applyFont="1" applyFill="1" applyBorder="1" applyAlignment="1">
      <alignment/>
    </xf>
    <xf numFmtId="171" fontId="1" fillId="33" borderId="21" xfId="63" applyNumberFormat="1" applyFont="1" applyFill="1" applyBorder="1" applyAlignment="1">
      <alignment/>
    </xf>
    <xf numFmtId="171" fontId="1" fillId="33" borderId="11" xfId="63" applyNumberFormat="1" applyFont="1" applyFill="1" applyBorder="1" applyAlignment="1">
      <alignment/>
    </xf>
    <xf numFmtId="180" fontId="1" fillId="33" borderId="10" xfId="64" applyNumberFormat="1" applyFont="1" applyFill="1" applyBorder="1" applyAlignment="1">
      <alignment/>
    </xf>
    <xf numFmtId="180" fontId="1" fillId="33" borderId="12" xfId="64" applyNumberFormat="1" applyFont="1" applyFill="1" applyBorder="1" applyAlignment="1">
      <alignment/>
    </xf>
    <xf numFmtId="180" fontId="3" fillId="33" borderId="12" xfId="64" applyNumberFormat="1" applyFont="1" applyFill="1" applyBorder="1" applyAlignment="1">
      <alignment/>
    </xf>
    <xf numFmtId="180" fontId="1" fillId="33" borderId="15" xfId="64" applyNumberFormat="1" applyFont="1" applyFill="1" applyBorder="1" applyAlignment="1">
      <alignment/>
    </xf>
    <xf numFmtId="180" fontId="1" fillId="33" borderId="21" xfId="64" applyNumberFormat="1" applyFont="1" applyFill="1" applyBorder="1" applyAlignment="1">
      <alignment/>
    </xf>
    <xf numFmtId="180" fontId="3" fillId="33" borderId="0" xfId="47" applyNumberFormat="1" applyFont="1" applyFill="1" applyAlignment="1">
      <alignment/>
      <protection/>
    </xf>
    <xf numFmtId="180" fontId="3" fillId="33" borderId="18" xfId="64" applyNumberFormat="1" applyFont="1" applyFill="1" applyBorder="1" applyAlignment="1">
      <alignment horizontal="right"/>
    </xf>
    <xf numFmtId="180" fontId="3" fillId="33" borderId="15" xfId="64" applyNumberFormat="1" applyFont="1" applyFill="1" applyBorder="1" applyAlignment="1">
      <alignment/>
    </xf>
    <xf numFmtId="180" fontId="3" fillId="33" borderId="19" xfId="64" applyNumberFormat="1" applyFont="1" applyFill="1" applyBorder="1" applyAlignment="1">
      <alignment/>
    </xf>
    <xf numFmtId="171" fontId="1" fillId="33" borderId="22" xfId="63" applyFont="1" applyFill="1" applyBorder="1" applyAlignment="1">
      <alignment/>
    </xf>
    <xf numFmtId="171" fontId="3" fillId="33" borderId="22" xfId="63" applyFont="1" applyFill="1" applyBorder="1" applyAlignment="1">
      <alignment wrapText="1"/>
    </xf>
    <xf numFmtId="171" fontId="1" fillId="33" borderId="13" xfId="63" applyFont="1" applyFill="1" applyBorder="1" applyAlignment="1">
      <alignment horizontal="right"/>
    </xf>
    <xf numFmtId="171" fontId="1" fillId="33" borderId="18" xfId="63" applyFont="1" applyFill="1" applyBorder="1" applyAlignment="1">
      <alignment horizontal="right"/>
    </xf>
    <xf numFmtId="171" fontId="1" fillId="33" borderId="22" xfId="63" applyFont="1" applyFill="1" applyBorder="1" applyAlignment="1">
      <alignment horizontal="right"/>
    </xf>
    <xf numFmtId="171" fontId="1" fillId="33" borderId="19" xfId="63" applyFont="1" applyFill="1" applyBorder="1" applyAlignment="1">
      <alignment horizontal="right"/>
    </xf>
    <xf numFmtId="171" fontId="1" fillId="33" borderId="23" xfId="63" applyFont="1" applyFill="1" applyBorder="1" applyAlignment="1">
      <alignment horizontal="right"/>
    </xf>
    <xf numFmtId="171" fontId="1" fillId="33" borderId="13" xfId="63" applyFont="1" applyFill="1" applyBorder="1" applyAlignment="1">
      <alignment/>
    </xf>
    <xf numFmtId="171" fontId="1" fillId="33" borderId="24" xfId="63" applyFont="1" applyFill="1" applyBorder="1" applyAlignment="1">
      <alignment horizontal="right"/>
    </xf>
    <xf numFmtId="171" fontId="1" fillId="33" borderId="15" xfId="63" applyFont="1" applyFill="1" applyBorder="1" applyAlignment="1">
      <alignment horizontal="right"/>
    </xf>
    <xf numFmtId="43" fontId="3" fillId="0" borderId="0" xfId="47" applyNumberFormat="1" applyFont="1" applyFill="1" applyBorder="1" applyAlignment="1">
      <alignment horizontal="left" vertical="center"/>
      <protection/>
    </xf>
    <xf numFmtId="169" fontId="3" fillId="33" borderId="16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0" fontId="1" fillId="34" borderId="10" xfId="47" applyNumberFormat="1" applyFont="1" applyFill="1" applyBorder="1" applyAlignment="1">
      <alignment horizontal="center" vertical="center"/>
      <protection/>
    </xf>
    <xf numFmtId="0" fontId="1" fillId="34" borderId="12" xfId="47" applyNumberFormat="1" applyFont="1" applyFill="1" applyBorder="1" applyAlignment="1">
      <alignment horizontal="center" vertical="center"/>
      <protection/>
    </xf>
    <xf numFmtId="180" fontId="3" fillId="33" borderId="16" xfId="64" applyNumberFormat="1" applyFont="1" applyFill="1" applyBorder="1" applyAlignment="1">
      <alignment horizontal="center"/>
    </xf>
    <xf numFmtId="180" fontId="3" fillId="33" borderId="0" xfId="64" applyNumberFormat="1" applyFont="1" applyFill="1" applyBorder="1" applyAlignment="1">
      <alignment horizontal="center"/>
    </xf>
    <xf numFmtId="169" fontId="3" fillId="33" borderId="18" xfId="64" applyNumberFormat="1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/>
    </xf>
    <xf numFmtId="49" fontId="3" fillId="0" borderId="11" xfId="47" applyNumberFormat="1" applyFont="1" applyFill="1" applyBorder="1" applyAlignment="1">
      <alignment horizontal="left"/>
      <protection/>
    </xf>
    <xf numFmtId="49" fontId="3" fillId="0" borderId="0" xfId="47" applyNumberFormat="1" applyFont="1" applyFill="1" applyBorder="1" applyAlignment="1">
      <alignment horizontal="left"/>
      <protection/>
    </xf>
    <xf numFmtId="169" fontId="1" fillId="33" borderId="16" xfId="64" applyNumberFormat="1" applyFont="1" applyFill="1" applyBorder="1" applyAlignment="1">
      <alignment horizontal="center"/>
    </xf>
    <xf numFmtId="169" fontId="1" fillId="33" borderId="0" xfId="64" applyNumberFormat="1" applyFont="1" applyFill="1" applyBorder="1" applyAlignment="1">
      <alignment horizontal="center"/>
    </xf>
    <xf numFmtId="0" fontId="1" fillId="34" borderId="21" xfId="47" applyNumberFormat="1" applyFont="1" applyFill="1" applyBorder="1" applyAlignment="1">
      <alignment horizontal="center" vertical="center"/>
      <protection/>
    </xf>
    <xf numFmtId="0" fontId="1" fillId="34" borderId="11" xfId="47" applyNumberFormat="1" applyFont="1" applyFill="1" applyBorder="1" applyAlignment="1">
      <alignment horizontal="center" vertical="center"/>
      <protection/>
    </xf>
    <xf numFmtId="0" fontId="1" fillId="34" borderId="19" xfId="47" applyNumberFormat="1" applyFont="1" applyFill="1" applyBorder="1" applyAlignment="1">
      <alignment horizontal="center" vertical="center"/>
      <protection/>
    </xf>
    <xf numFmtId="0" fontId="1" fillId="34" borderId="23" xfId="47" applyNumberFormat="1" applyFont="1" applyFill="1" applyBorder="1" applyAlignment="1">
      <alignment horizontal="center"/>
      <protection/>
    </xf>
    <xf numFmtId="0" fontId="1" fillId="34" borderId="24" xfId="47" applyNumberFormat="1" applyFont="1" applyFill="1" applyBorder="1" applyAlignment="1">
      <alignment horizontal="center"/>
      <protection/>
    </xf>
    <xf numFmtId="180" fontId="1" fillId="33" borderId="16" xfId="64" applyNumberFormat="1" applyFont="1" applyFill="1" applyBorder="1" applyAlignment="1">
      <alignment horizontal="center"/>
    </xf>
    <xf numFmtId="180" fontId="1" fillId="33" borderId="0" xfId="64" applyNumberFormat="1" applyFont="1" applyFill="1" applyBorder="1" applyAlignment="1">
      <alignment horizontal="center"/>
    </xf>
    <xf numFmtId="49" fontId="3" fillId="0" borderId="19" xfId="47" applyNumberFormat="1" applyFont="1" applyFill="1" applyBorder="1" applyAlignment="1">
      <alignment horizontal="left"/>
      <protection/>
    </xf>
    <xf numFmtId="37" fontId="6" fillId="33" borderId="24" xfId="47" applyNumberFormat="1" applyFont="1" applyFill="1" applyBorder="1" applyAlignment="1">
      <alignment horizontal="center" vertical="center"/>
      <protection/>
    </xf>
    <xf numFmtId="0" fontId="6" fillId="33" borderId="0" xfId="47" applyFont="1" applyFill="1" applyAlignment="1">
      <alignment horizontal="left" vertical="center" wrapText="1"/>
      <protection/>
    </xf>
    <xf numFmtId="169" fontId="3" fillId="33" borderId="18" xfId="64" applyNumberFormat="1" applyFont="1" applyFill="1" applyBorder="1" applyAlignment="1">
      <alignment horizontal="center"/>
    </xf>
    <xf numFmtId="169" fontId="3" fillId="33" borderId="14" xfId="64" applyNumberFormat="1" applyFont="1" applyFill="1" applyBorder="1" applyAlignment="1">
      <alignment horizontal="center"/>
    </xf>
    <xf numFmtId="0" fontId="1" fillId="34" borderId="20" xfId="47" applyFont="1" applyFill="1" applyBorder="1" applyAlignment="1">
      <alignment horizontal="center" vertical="center"/>
      <protection/>
    </xf>
    <xf numFmtId="0" fontId="1" fillId="34" borderId="21" xfId="47" applyFont="1" applyFill="1" applyBorder="1" applyAlignment="1">
      <alignment horizontal="center" vertical="center"/>
      <protection/>
    </xf>
    <xf numFmtId="0" fontId="1" fillId="34" borderId="0" xfId="47" applyFont="1" applyFill="1" applyBorder="1" applyAlignment="1">
      <alignment horizontal="center" vertical="center"/>
      <protection/>
    </xf>
    <xf numFmtId="0" fontId="1" fillId="34" borderId="11" xfId="47" applyFont="1" applyFill="1" applyBorder="1" applyAlignment="1">
      <alignment horizontal="center" vertical="center"/>
      <protection/>
    </xf>
    <xf numFmtId="0" fontId="1" fillId="34" borderId="14" xfId="47" applyFont="1" applyFill="1" applyBorder="1" applyAlignment="1">
      <alignment horizontal="center" vertical="center"/>
      <protection/>
    </xf>
    <xf numFmtId="0" fontId="1" fillId="34" borderId="19" xfId="47" applyFont="1" applyFill="1" applyBorder="1" applyAlignment="1">
      <alignment horizontal="center" vertical="center"/>
      <protection/>
    </xf>
    <xf numFmtId="0" fontId="4" fillId="33" borderId="0" xfId="47" applyNumberFormat="1" applyFont="1" applyFill="1" applyAlignment="1">
      <alignment horizontal="center"/>
      <protection/>
    </xf>
    <xf numFmtId="180" fontId="1" fillId="33" borderId="16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49" fontId="1" fillId="0" borderId="11" xfId="47" applyNumberFormat="1" applyFont="1" applyFill="1" applyBorder="1" applyAlignment="1">
      <alignment horizontal="left"/>
      <protection/>
    </xf>
    <xf numFmtId="49" fontId="3" fillId="0" borderId="11" xfId="47" applyNumberFormat="1" applyFont="1" applyFill="1" applyBorder="1" applyAlignment="1">
      <alignment horizontal="left" indent="4"/>
      <protection/>
    </xf>
    <xf numFmtId="0" fontId="1" fillId="0" borderId="0" xfId="47" applyFont="1" applyFill="1" applyBorder="1" applyAlignment="1">
      <alignment horizontal="left" wrapText="1"/>
      <protection/>
    </xf>
    <xf numFmtId="0" fontId="1" fillId="0" borderId="11" xfId="47" applyFont="1" applyFill="1" applyBorder="1" applyAlignment="1">
      <alignment horizontal="left" wrapText="1"/>
      <protection/>
    </xf>
    <xf numFmtId="180" fontId="1" fillId="33" borderId="17" xfId="64" applyNumberFormat="1" applyFont="1" applyFill="1" applyBorder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49" fontId="1" fillId="34" borderId="18" xfId="47" applyNumberFormat="1" applyFont="1" applyFill="1" applyBorder="1" applyAlignment="1">
      <alignment horizontal="center"/>
      <protection/>
    </xf>
    <xf numFmtId="49" fontId="1" fillId="34" borderId="19" xfId="47" applyNumberFormat="1" applyFont="1" applyFill="1" applyBorder="1" applyAlignment="1">
      <alignment horizontal="center"/>
      <protection/>
    </xf>
    <xf numFmtId="49" fontId="1" fillId="34" borderId="14" xfId="47" applyNumberFormat="1" applyFont="1" applyFill="1" applyBorder="1" applyAlignment="1">
      <alignment horizontal="center"/>
      <protection/>
    </xf>
    <xf numFmtId="49" fontId="4" fillId="33" borderId="0" xfId="47" applyNumberFormat="1" applyFont="1" applyFill="1" applyAlignment="1">
      <alignment horizontal="center"/>
      <protection/>
    </xf>
    <xf numFmtId="49" fontId="1" fillId="34" borderId="17" xfId="47" applyNumberFormat="1" applyFont="1" applyFill="1" applyBorder="1" applyAlignment="1">
      <alignment horizontal="center"/>
      <protection/>
    </xf>
    <xf numFmtId="49" fontId="1" fillId="34" borderId="20" xfId="47" applyNumberFormat="1" applyFont="1" applyFill="1" applyBorder="1" applyAlignment="1">
      <alignment horizontal="center"/>
      <protection/>
    </xf>
    <xf numFmtId="49" fontId="1" fillId="34" borderId="10" xfId="47" applyNumberFormat="1" applyFont="1" applyFill="1" applyBorder="1" applyAlignment="1">
      <alignment horizontal="center" vertical="center" wrapText="1"/>
      <protection/>
    </xf>
    <xf numFmtId="49" fontId="1" fillId="34" borderId="12" xfId="47" applyNumberFormat="1" applyFont="1" applyFill="1" applyBorder="1" applyAlignment="1">
      <alignment horizontal="center" vertical="center" wrapText="1"/>
      <protection/>
    </xf>
    <xf numFmtId="49" fontId="1" fillId="34" borderId="15" xfId="47" applyNumberFormat="1" applyFont="1" applyFill="1" applyBorder="1" applyAlignment="1">
      <alignment horizontal="center" vertical="center" wrapText="1"/>
      <protection/>
    </xf>
    <xf numFmtId="0" fontId="1" fillId="34" borderId="23" xfId="47" applyFont="1" applyFill="1" applyBorder="1" applyAlignment="1">
      <alignment horizontal="center" vertical="center"/>
      <protection/>
    </xf>
    <xf numFmtId="0" fontId="1" fillId="34" borderId="24" xfId="47" applyFont="1" applyFill="1" applyBorder="1" applyAlignment="1">
      <alignment horizontal="center" vertical="center"/>
      <protection/>
    </xf>
    <xf numFmtId="0" fontId="1" fillId="34" borderId="22" xfId="47" applyFont="1" applyFill="1" applyBorder="1" applyAlignment="1">
      <alignment horizontal="center" vertical="center"/>
      <protection/>
    </xf>
    <xf numFmtId="49" fontId="1" fillId="34" borderId="21" xfId="47" applyNumberFormat="1" applyFont="1" applyFill="1" applyBorder="1" applyAlignment="1">
      <alignment horizontal="center"/>
      <protection/>
    </xf>
    <xf numFmtId="49" fontId="1" fillId="34" borderId="16" xfId="47" applyNumberFormat="1" applyFont="1" applyFill="1" applyBorder="1" applyAlignment="1">
      <alignment horizontal="center"/>
      <protection/>
    </xf>
    <xf numFmtId="49" fontId="1" fillId="34" borderId="0" xfId="47" applyNumberFormat="1" applyFont="1" applyFill="1" applyBorder="1" applyAlignment="1">
      <alignment horizontal="center"/>
      <protection/>
    </xf>
    <xf numFmtId="171" fontId="1" fillId="33" borderId="18" xfId="63" applyFont="1" applyFill="1" applyBorder="1" applyAlignment="1">
      <alignment horizontal="center"/>
    </xf>
    <xf numFmtId="171" fontId="1" fillId="33" borderId="14" xfId="63" applyFont="1" applyFill="1" applyBorder="1" applyAlignment="1">
      <alignment horizontal="center"/>
    </xf>
    <xf numFmtId="169" fontId="1" fillId="33" borderId="20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24" xfId="64" applyNumberFormat="1" applyFont="1" applyFill="1" applyBorder="1" applyAlignment="1">
      <alignment horizontal="right"/>
    </xf>
    <xf numFmtId="0" fontId="3" fillId="0" borderId="24" xfId="47" applyFont="1" applyFill="1" applyBorder="1" applyAlignment="1">
      <alignment horizontal="left"/>
      <protection/>
    </xf>
    <xf numFmtId="169" fontId="3" fillId="33" borderId="23" xfId="64" applyNumberFormat="1" applyFont="1" applyFill="1" applyBorder="1" applyAlignment="1">
      <alignment horizontal="right" vertical="center"/>
    </xf>
    <xf numFmtId="169" fontId="3" fillId="33" borderId="24" xfId="64" applyNumberFormat="1" applyFont="1" applyFill="1" applyBorder="1" applyAlignment="1">
      <alignment horizontal="right" vertical="center"/>
    </xf>
    <xf numFmtId="0" fontId="1" fillId="34" borderId="17" xfId="47" applyNumberFormat="1" applyFont="1" applyFill="1" applyBorder="1" applyAlignment="1">
      <alignment horizontal="center" wrapText="1"/>
      <protection/>
    </xf>
    <xf numFmtId="0" fontId="1" fillId="34" borderId="20" xfId="47" applyNumberFormat="1" applyFont="1" applyFill="1" applyBorder="1" applyAlignment="1">
      <alignment horizontal="center" wrapText="1"/>
      <protection/>
    </xf>
    <xf numFmtId="0" fontId="1" fillId="34" borderId="16" xfId="47" applyNumberFormat="1" applyFont="1" applyFill="1" applyBorder="1" applyAlignment="1">
      <alignment horizontal="center" wrapText="1"/>
      <protection/>
    </xf>
    <xf numFmtId="0" fontId="1" fillId="34" borderId="0" xfId="47" applyNumberFormat="1" applyFont="1" applyFill="1" applyBorder="1" applyAlignment="1">
      <alignment horizontal="center" wrapText="1"/>
      <protection/>
    </xf>
    <xf numFmtId="0" fontId="1" fillId="34" borderId="18" xfId="47" applyNumberFormat="1" applyFont="1" applyFill="1" applyBorder="1" applyAlignment="1">
      <alignment horizontal="center" wrapText="1"/>
      <protection/>
    </xf>
    <xf numFmtId="0" fontId="1" fillId="34" borderId="14" xfId="47" applyNumberFormat="1" applyFont="1" applyFill="1" applyBorder="1" applyAlignment="1">
      <alignment horizontal="center" wrapText="1"/>
      <protection/>
    </xf>
    <xf numFmtId="49" fontId="1" fillId="0" borderId="24" xfId="47" applyNumberFormat="1" applyFont="1" applyFill="1" applyBorder="1" applyAlignment="1">
      <alignment horizontal="left"/>
      <protection/>
    </xf>
    <xf numFmtId="49" fontId="1" fillId="0" borderId="22" xfId="47" applyNumberFormat="1" applyFont="1" applyFill="1" applyBorder="1" applyAlignment="1">
      <alignment horizontal="left"/>
      <protection/>
    </xf>
    <xf numFmtId="171" fontId="1" fillId="33" borderId="23" xfId="63" applyFont="1" applyFill="1" applyBorder="1" applyAlignment="1">
      <alignment horizontal="right"/>
    </xf>
    <xf numFmtId="171" fontId="1" fillId="33" borderId="24" xfId="63" applyFont="1" applyFill="1" applyBorder="1" applyAlignment="1">
      <alignment horizontal="right"/>
    </xf>
    <xf numFmtId="169" fontId="1" fillId="33" borderId="23" xfId="63" applyNumberFormat="1" applyFont="1" applyFill="1" applyBorder="1" applyAlignment="1">
      <alignment horizontal="right"/>
    </xf>
    <xf numFmtId="169" fontId="1" fillId="33" borderId="24" xfId="63" applyNumberFormat="1" applyFont="1" applyFill="1" applyBorder="1" applyAlignment="1">
      <alignment horizontal="right"/>
    </xf>
    <xf numFmtId="49" fontId="1" fillId="0" borderId="20" xfId="47" applyNumberFormat="1" applyFont="1" applyFill="1" applyBorder="1" applyAlignment="1">
      <alignment horizontal="left"/>
      <protection/>
    </xf>
    <xf numFmtId="49" fontId="1" fillId="0" borderId="21" xfId="47" applyNumberFormat="1" applyFont="1" applyFill="1" applyBorder="1" applyAlignment="1">
      <alignment horizontal="left"/>
      <protection/>
    </xf>
    <xf numFmtId="49" fontId="1" fillId="0" borderId="24" xfId="47" applyNumberFormat="1" applyFont="1" applyFill="1" applyBorder="1" applyAlignment="1">
      <alignment horizontal="left" vertical="center" wrapText="1"/>
      <protection/>
    </xf>
    <xf numFmtId="0" fontId="3" fillId="0" borderId="22" xfId="47" applyFont="1" applyFill="1" applyBorder="1" applyAlignment="1">
      <alignment horizontal="left"/>
      <protection/>
    </xf>
    <xf numFmtId="0" fontId="3" fillId="0" borderId="11" xfId="47" applyFont="1" applyFill="1" applyBorder="1" applyAlignment="1">
      <alignment horizontal="left"/>
      <protection/>
    </xf>
    <xf numFmtId="0" fontId="3" fillId="0" borderId="14" xfId="47" applyFont="1" applyFill="1" applyBorder="1" applyAlignment="1">
      <alignment horizontal="left"/>
      <protection/>
    </xf>
    <xf numFmtId="0" fontId="3" fillId="0" borderId="19" xfId="47" applyFont="1" applyFill="1" applyBorder="1" applyAlignment="1">
      <alignment horizontal="left"/>
      <protection/>
    </xf>
    <xf numFmtId="0" fontId="1" fillId="33" borderId="11" xfId="47" applyFont="1" applyFill="1" applyBorder="1" applyAlignment="1">
      <alignment horizontal="left"/>
      <protection/>
    </xf>
    <xf numFmtId="0" fontId="3" fillId="33" borderId="11" xfId="47" applyFont="1" applyFill="1" applyBorder="1" applyAlignment="1">
      <alignment horizontal="left"/>
      <protection/>
    </xf>
    <xf numFmtId="180" fontId="1" fillId="33" borderId="18" xfId="64" applyNumberFormat="1" applyFont="1" applyFill="1" applyBorder="1" applyAlignment="1">
      <alignment horizontal="right"/>
    </xf>
    <xf numFmtId="180" fontId="1" fillId="33" borderId="14" xfId="64" applyNumberFormat="1" applyFont="1" applyFill="1" applyBorder="1" applyAlignment="1">
      <alignment horizontal="right"/>
    </xf>
    <xf numFmtId="0" fontId="3" fillId="0" borderId="0" xfId="47" applyFont="1" applyFill="1" applyBorder="1" applyAlignment="1">
      <alignment horizontal="left"/>
      <protection/>
    </xf>
    <xf numFmtId="0" fontId="1" fillId="0" borderId="20" xfId="47" applyNumberFormat="1" applyFont="1" applyFill="1" applyBorder="1" applyAlignment="1">
      <alignment horizontal="left"/>
      <protection/>
    </xf>
    <xf numFmtId="0" fontId="3" fillId="0" borderId="21" xfId="47" applyFont="1" applyFill="1" applyBorder="1" applyAlignment="1">
      <alignment horizontal="left"/>
      <protection/>
    </xf>
    <xf numFmtId="169" fontId="1" fillId="33" borderId="17" xfId="64" applyNumberFormat="1" applyFont="1" applyFill="1" applyBorder="1" applyAlignment="1">
      <alignment horizontal="right"/>
    </xf>
    <xf numFmtId="0" fontId="4" fillId="0" borderId="0" xfId="47" applyNumberFormat="1" applyFont="1" applyFill="1" applyAlignment="1">
      <alignment horizontal="center"/>
      <protection/>
    </xf>
    <xf numFmtId="49" fontId="4" fillId="0" borderId="0" xfId="47" applyNumberFormat="1" applyFont="1" applyFill="1" applyAlignment="1">
      <alignment horizontal="center"/>
      <protection/>
    </xf>
    <xf numFmtId="0" fontId="5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49" fillId="0" borderId="0" xfId="47" applyFont="1" applyFill="1" applyBorder="1" applyAlignment="1">
      <alignment horizontal="center" vertical="center"/>
      <protection/>
    </xf>
    <xf numFmtId="0" fontId="6" fillId="0" borderId="0" xfId="47" applyFont="1" applyAlignment="1">
      <alignment horizontal="left" vertical="center" wrapText="1"/>
      <protection/>
    </xf>
    <xf numFmtId="0" fontId="1" fillId="34" borderId="22" xfId="47" applyNumberFormat="1" applyFont="1" applyFill="1" applyBorder="1" applyAlignment="1">
      <alignment horizontal="center"/>
      <protection/>
    </xf>
    <xf numFmtId="0" fontId="1" fillId="34" borderId="10" xfId="47" applyNumberFormat="1" applyFont="1" applyFill="1" applyBorder="1" applyAlignment="1">
      <alignment horizontal="center" wrapText="1"/>
      <protection/>
    </xf>
    <xf numFmtId="0" fontId="1" fillId="34" borderId="12" xfId="47" applyNumberFormat="1" applyFont="1" applyFill="1" applyBorder="1" applyAlignment="1">
      <alignment horizontal="center" wrapText="1"/>
      <protection/>
    </xf>
    <xf numFmtId="0" fontId="1" fillId="34" borderId="10" xfId="47" applyNumberFormat="1" applyFont="1" applyFill="1" applyBorder="1" applyAlignment="1">
      <alignment horizontal="center" vertical="center" wrapText="1"/>
      <protection/>
    </xf>
    <xf numFmtId="0" fontId="1" fillId="34" borderId="12" xfId="47" applyNumberFormat="1" applyFont="1" applyFill="1" applyBorder="1" applyAlignment="1">
      <alignment horizontal="center" vertical="center" wrapText="1"/>
      <protection/>
    </xf>
    <xf numFmtId="49" fontId="1" fillId="33" borderId="24" xfId="47" applyNumberFormat="1" applyFont="1" applyFill="1" applyBorder="1" applyAlignment="1">
      <alignment horizontal="left"/>
      <protection/>
    </xf>
    <xf numFmtId="0" fontId="3" fillId="33" borderId="22" xfId="47" applyFont="1" applyFill="1" applyBorder="1" applyAlignment="1">
      <alignment horizontal="left"/>
      <protection/>
    </xf>
    <xf numFmtId="171" fontId="1" fillId="33" borderId="17" xfId="63" applyFont="1" applyFill="1" applyBorder="1" applyAlignment="1">
      <alignment horizontal="right"/>
    </xf>
    <xf numFmtId="171" fontId="1" fillId="33" borderId="20" xfId="63" applyFont="1" applyFill="1" applyBorder="1" applyAlignment="1">
      <alignment horizontal="right"/>
    </xf>
    <xf numFmtId="171" fontId="2" fillId="35" borderId="23" xfId="63" applyFont="1" applyFill="1" applyBorder="1" applyAlignment="1">
      <alignment horizontal="center"/>
    </xf>
    <xf numFmtId="171" fontId="2" fillId="35" borderId="24" xfId="63" applyFont="1" applyFill="1" applyBorder="1" applyAlignment="1">
      <alignment horizontal="center"/>
    </xf>
    <xf numFmtId="0" fontId="5" fillId="33" borderId="0" xfId="47" applyNumberFormat="1" applyFont="1" applyFill="1" applyAlignment="1">
      <alignment horizontal="center"/>
      <protection/>
    </xf>
    <xf numFmtId="169" fontId="46" fillId="0" borderId="0" xfId="47" applyNumberFormat="1" applyFont="1" applyFill="1" applyAlignment="1">
      <alignment horizont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1295400</xdr:colOff>
      <xdr:row>0</xdr:row>
      <xdr:rowOff>142875</xdr:rowOff>
    </xdr:from>
    <xdr:to>
      <xdr:col>4</xdr:col>
      <xdr:colOff>400050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1428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1371600</xdr:colOff>
      <xdr:row>127</xdr:row>
      <xdr:rowOff>28575</xdr:rowOff>
    </xdr:from>
    <xdr:to>
      <xdr:col>4</xdr:col>
      <xdr:colOff>419100</xdr:colOff>
      <xdr:row>129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56127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6"/>
  <sheetViews>
    <sheetView showGridLines="0" tabSelected="1" zoomScale="80" zoomScaleNormal="80" zoomScaleSheetLayoutView="70" workbookViewId="0" topLeftCell="A211">
      <selection activeCell="A237" sqref="A237"/>
    </sheetView>
  </sheetViews>
  <sheetFormatPr defaultColWidth="9.140625" defaultRowHeight="11.25" customHeight="1"/>
  <cols>
    <col min="1" max="1" width="80.00390625" style="2" customWidth="1"/>
    <col min="2" max="2" width="21.421875" style="2" bestFit="1" customWidth="1"/>
    <col min="3" max="3" width="22.28125" style="2" bestFit="1" customWidth="1"/>
    <col min="4" max="5" width="22.140625" style="2" bestFit="1" customWidth="1"/>
    <col min="6" max="9" width="21.7109375" style="2" bestFit="1" customWidth="1"/>
    <col min="10" max="10" width="22.7109375" style="2" customWidth="1"/>
    <col min="11" max="11" width="4.140625" style="2" customWidth="1"/>
    <col min="12" max="12" width="14.28125" style="2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288" t="s">
        <v>27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2" s="4" customFormat="1" ht="15.75" customHeight="1">
      <c r="A7" s="289" t="s">
        <v>0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</row>
    <row r="8" spans="1:12" s="4" customFormat="1" ht="15.75" customHeight="1">
      <c r="A8" s="290" t="s">
        <v>1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</row>
    <row r="9" spans="1:12" s="4" customFormat="1" ht="15.75" customHeight="1">
      <c r="A9" s="291" t="s">
        <v>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</row>
    <row r="10" spans="1:12" s="4" customFormat="1" ht="16.5">
      <c r="A10" s="289" t="s">
        <v>147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62"/>
      <c r="K12" s="62"/>
      <c r="L12" s="94" t="s">
        <v>152</v>
      </c>
    </row>
    <row r="13" spans="1:12" s="3" customFormat="1" ht="15.75">
      <c r="A13" s="8" t="s">
        <v>71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23" t="s">
        <v>4</v>
      </c>
      <c r="B14" s="224"/>
      <c r="C14" s="244" t="s">
        <v>72</v>
      </c>
      <c r="D14" s="78" t="s">
        <v>87</v>
      </c>
      <c r="E14" s="247" t="s">
        <v>3</v>
      </c>
      <c r="F14" s="248"/>
      <c r="G14" s="248"/>
      <c r="H14" s="248"/>
      <c r="I14" s="249"/>
      <c r="J14" s="242" t="s">
        <v>73</v>
      </c>
      <c r="K14" s="243"/>
      <c r="L14" s="243"/>
    </row>
    <row r="15" spans="1:12" s="3" customFormat="1" ht="15.75" customHeight="1">
      <c r="A15" s="225"/>
      <c r="B15" s="226"/>
      <c r="C15" s="245"/>
      <c r="D15" s="79" t="s">
        <v>6</v>
      </c>
      <c r="E15" s="78" t="s">
        <v>7</v>
      </c>
      <c r="F15" s="80" t="s">
        <v>8</v>
      </c>
      <c r="G15" s="242" t="s">
        <v>9</v>
      </c>
      <c r="H15" s="250"/>
      <c r="I15" s="80" t="s">
        <v>8</v>
      </c>
      <c r="J15" s="251"/>
      <c r="K15" s="252"/>
      <c r="L15" s="252"/>
    </row>
    <row r="16" spans="1:12" s="3" customFormat="1" ht="16.5" customHeight="1">
      <c r="A16" s="227"/>
      <c r="B16" s="228"/>
      <c r="C16" s="246"/>
      <c r="D16" s="81" t="s">
        <v>10</v>
      </c>
      <c r="E16" s="81" t="s">
        <v>11</v>
      </c>
      <c r="F16" s="81" t="s">
        <v>12</v>
      </c>
      <c r="G16" s="238" t="s">
        <v>74</v>
      </c>
      <c r="H16" s="239"/>
      <c r="I16" s="81" t="s">
        <v>13</v>
      </c>
      <c r="J16" s="238" t="s">
        <v>14</v>
      </c>
      <c r="K16" s="240"/>
      <c r="L16" s="240"/>
    </row>
    <row r="17" spans="1:13" s="3" customFormat="1" ht="15.75" customHeight="1">
      <c r="A17" s="234" t="s">
        <v>75</v>
      </c>
      <c r="B17" s="235"/>
      <c r="C17" s="130">
        <f>C18+C58</f>
        <v>66563479836</v>
      </c>
      <c r="D17" s="131">
        <f>D18+D58</f>
        <v>62383567408.75</v>
      </c>
      <c r="E17" s="132">
        <f>E18+E58</f>
        <v>13360999068</v>
      </c>
      <c r="F17" s="14">
        <f>(E17/D17)*100</f>
        <v>21.417497624744637</v>
      </c>
      <c r="G17" s="109"/>
      <c r="H17" s="173">
        <f>H18+H58</f>
        <v>62473175508.049995</v>
      </c>
      <c r="I17" s="14">
        <f>(H17/D17)*100</f>
        <v>100.143640549943</v>
      </c>
      <c r="J17" s="236">
        <f aca="true" t="shared" si="0" ref="J17:J48">D17-H17</f>
        <v>-89608099.29999542</v>
      </c>
      <c r="K17" s="237"/>
      <c r="L17" s="237"/>
      <c r="M17" s="15"/>
    </row>
    <row r="18" spans="1:13" s="3" customFormat="1" ht="15.75" customHeight="1">
      <c r="A18" s="232" t="s">
        <v>35</v>
      </c>
      <c r="B18" s="232"/>
      <c r="C18" s="133">
        <f>C19+C23+C28+C36+C37+C38+C44+C53</f>
        <v>65299268780</v>
      </c>
      <c r="D18" s="134">
        <f>D19+D23+D28+D36+D37+D38+D44+D53</f>
        <v>61189655749.12</v>
      </c>
      <c r="E18" s="132">
        <f>E19+E23+E28+E36+E37+E38+E44+E53</f>
        <v>13307378183.77</v>
      </c>
      <c r="F18" s="17">
        <f>(E18/D18)*100</f>
        <v>21.747757886285182</v>
      </c>
      <c r="G18" s="110"/>
      <c r="H18" s="174">
        <f>H19+H23+H28+H36+H37+H38+H44+H53</f>
        <v>62291178830.24</v>
      </c>
      <c r="I18" s="17">
        <f aca="true" t="shared" si="1" ref="I18:I81">(H18/D18)*100</f>
        <v>101.80017858841417</v>
      </c>
      <c r="J18" s="230">
        <f t="shared" si="0"/>
        <v>-1101523081.119995</v>
      </c>
      <c r="K18" s="231"/>
      <c r="L18" s="231"/>
      <c r="M18" s="18"/>
    </row>
    <row r="19" spans="1:13" s="3" customFormat="1" ht="15.75" customHeight="1">
      <c r="A19" s="207" t="s">
        <v>139</v>
      </c>
      <c r="B19" s="207"/>
      <c r="C19" s="129">
        <f>C20+C21+C22</f>
        <v>38233199762</v>
      </c>
      <c r="D19" s="135">
        <f>D20+D21+D22</f>
        <v>35683255345.76</v>
      </c>
      <c r="E19" s="136">
        <f>E20+E21+E22</f>
        <v>8245313219.4</v>
      </c>
      <c r="F19" s="22">
        <f>(E19/D19)*100</f>
        <v>23.106953498231583</v>
      </c>
      <c r="G19" s="107"/>
      <c r="H19" s="162">
        <f>H20+H21+H22</f>
        <v>36565486724.67</v>
      </c>
      <c r="I19" s="22">
        <f t="shared" si="1"/>
        <v>102.4723960030032</v>
      </c>
      <c r="J19" s="197">
        <f t="shared" si="0"/>
        <v>-882231378.909996</v>
      </c>
      <c r="K19" s="198"/>
      <c r="L19" s="198"/>
      <c r="M19" s="18"/>
    </row>
    <row r="20" spans="1:12" s="3" customFormat="1" ht="15.75" customHeight="1">
      <c r="A20" s="207" t="s">
        <v>36</v>
      </c>
      <c r="B20" s="207"/>
      <c r="C20" s="129">
        <v>35182845614</v>
      </c>
      <c r="D20" s="135">
        <v>32835321562.59</v>
      </c>
      <c r="E20" s="136">
        <f>H20-26449532980.48</f>
        <v>7822146078.799999</v>
      </c>
      <c r="F20" s="22">
        <f>(E20/D20)*100</f>
        <v>23.822352596394065</v>
      </c>
      <c r="G20" s="107"/>
      <c r="H20" s="162">
        <v>34271679059.28</v>
      </c>
      <c r="I20" s="22">
        <f t="shared" si="1"/>
        <v>104.37442798893272</v>
      </c>
      <c r="J20" s="197">
        <f t="shared" si="0"/>
        <v>-1436357496.6899986</v>
      </c>
      <c r="K20" s="198"/>
      <c r="L20" s="198"/>
    </row>
    <row r="21" spans="1:12" s="3" customFormat="1" ht="15.75" customHeight="1">
      <c r="A21" s="207" t="s">
        <v>37</v>
      </c>
      <c r="B21" s="207"/>
      <c r="C21" s="129">
        <v>3050354148</v>
      </c>
      <c r="D21" s="135">
        <v>2847933783.17</v>
      </c>
      <c r="E21" s="136">
        <f>H21-1870640524.79</f>
        <v>423167140.5999999</v>
      </c>
      <c r="F21" s="22">
        <f>(E21/D21)*100</f>
        <v>14.85874226081822</v>
      </c>
      <c r="G21" s="107"/>
      <c r="H21" s="162">
        <v>2293807665.39</v>
      </c>
      <c r="I21" s="22">
        <f t="shared" si="1"/>
        <v>80.54287213225831</v>
      </c>
      <c r="J21" s="197">
        <f t="shared" si="0"/>
        <v>554126117.7800002</v>
      </c>
      <c r="K21" s="198"/>
      <c r="L21" s="198"/>
    </row>
    <row r="22" spans="1:12" s="3" customFormat="1" ht="15.75" customHeight="1">
      <c r="A22" s="207" t="s">
        <v>146</v>
      </c>
      <c r="B22" s="207"/>
      <c r="C22" s="129">
        <v>0</v>
      </c>
      <c r="D22" s="135">
        <v>0</v>
      </c>
      <c r="E22" s="136">
        <f>H22-0</f>
        <v>0</v>
      </c>
      <c r="F22" s="22">
        <v>0</v>
      </c>
      <c r="G22" s="107"/>
      <c r="H22" s="108">
        <v>0</v>
      </c>
      <c r="I22" s="22">
        <v>0</v>
      </c>
      <c r="J22" s="195">
        <f t="shared" si="0"/>
        <v>0</v>
      </c>
      <c r="K22" s="196"/>
      <c r="L22" s="196"/>
    </row>
    <row r="23" spans="1:13" s="3" customFormat="1" ht="17.25" customHeight="1">
      <c r="A23" s="207" t="s">
        <v>38</v>
      </c>
      <c r="B23" s="207"/>
      <c r="C23" s="129">
        <f>C25+C24+C26+C27</f>
        <v>3056775494</v>
      </c>
      <c r="D23" s="135">
        <f>D25+D24+D26+D27</f>
        <v>3056775494</v>
      </c>
      <c r="E23" s="136">
        <f>E25+E24+E26+E27</f>
        <v>680913529.1399999</v>
      </c>
      <c r="F23" s="22">
        <f>(E23/D23)*100</f>
        <v>22.275549201324495</v>
      </c>
      <c r="G23" s="107"/>
      <c r="H23" s="162">
        <f>SUM(H24:H27)</f>
        <v>2845733967.77</v>
      </c>
      <c r="I23" s="22">
        <f t="shared" si="1"/>
        <v>93.09594287692232</v>
      </c>
      <c r="J23" s="197">
        <f t="shared" si="0"/>
        <v>211041526.23000002</v>
      </c>
      <c r="K23" s="198"/>
      <c r="L23" s="198"/>
      <c r="M23" s="18"/>
    </row>
    <row r="24" spans="1:12" s="3" customFormat="1" ht="15.75" customHeight="1">
      <c r="A24" s="207" t="s">
        <v>39</v>
      </c>
      <c r="B24" s="207"/>
      <c r="C24" s="129">
        <v>3056775494</v>
      </c>
      <c r="D24" s="135">
        <v>3056775494</v>
      </c>
      <c r="E24" s="136">
        <f>H24-2164820438.63</f>
        <v>680913529.1399999</v>
      </c>
      <c r="F24" s="22">
        <f>(E24/D24)*100</f>
        <v>22.275549201324495</v>
      </c>
      <c r="G24" s="107"/>
      <c r="H24" s="162">
        <v>2845733967.77</v>
      </c>
      <c r="I24" s="22">
        <f t="shared" si="1"/>
        <v>93.09594287692232</v>
      </c>
      <c r="J24" s="197">
        <f t="shared" si="0"/>
        <v>211041526.23000002</v>
      </c>
      <c r="K24" s="198"/>
      <c r="L24" s="198"/>
    </row>
    <row r="25" spans="1:12" s="3" customFormat="1" ht="15.75" customHeight="1">
      <c r="A25" s="207" t="s">
        <v>98</v>
      </c>
      <c r="B25" s="207"/>
      <c r="C25" s="129">
        <v>0</v>
      </c>
      <c r="D25" s="135">
        <v>0</v>
      </c>
      <c r="E25" s="136">
        <f>H25-0</f>
        <v>0</v>
      </c>
      <c r="F25" s="22">
        <v>0</v>
      </c>
      <c r="G25" s="107"/>
      <c r="H25" s="108">
        <v>0</v>
      </c>
      <c r="I25" s="22">
        <v>0</v>
      </c>
      <c r="J25" s="195">
        <f t="shared" si="0"/>
        <v>0</v>
      </c>
      <c r="K25" s="196"/>
      <c r="L25" s="196"/>
    </row>
    <row r="26" spans="1:12" s="3" customFormat="1" ht="15.75" customHeight="1">
      <c r="A26" s="207" t="s">
        <v>116</v>
      </c>
      <c r="B26" s="207"/>
      <c r="C26" s="129">
        <v>0</v>
      </c>
      <c r="D26" s="135">
        <v>0</v>
      </c>
      <c r="E26" s="136">
        <f>H26-0</f>
        <v>0</v>
      </c>
      <c r="F26" s="22">
        <v>0</v>
      </c>
      <c r="G26" s="107"/>
      <c r="H26" s="108">
        <v>0</v>
      </c>
      <c r="I26" s="22">
        <v>0</v>
      </c>
      <c r="J26" s="199">
        <f t="shared" si="0"/>
        <v>0</v>
      </c>
      <c r="K26" s="200"/>
      <c r="L26" s="200"/>
    </row>
    <row r="27" spans="1:12" s="3" customFormat="1" ht="15.75" customHeight="1">
      <c r="A27" s="207" t="s">
        <v>117</v>
      </c>
      <c r="B27" s="207"/>
      <c r="C27" s="129">
        <v>0</v>
      </c>
      <c r="D27" s="135">
        <v>0</v>
      </c>
      <c r="E27" s="136">
        <f>H27-0</f>
        <v>0</v>
      </c>
      <c r="F27" s="22">
        <v>0</v>
      </c>
      <c r="G27" s="107"/>
      <c r="H27" s="108">
        <v>0</v>
      </c>
      <c r="I27" s="22">
        <v>0</v>
      </c>
      <c r="J27" s="199">
        <f t="shared" si="0"/>
        <v>0</v>
      </c>
      <c r="K27" s="200"/>
      <c r="L27" s="200"/>
    </row>
    <row r="28" spans="1:13" s="3" customFormat="1" ht="15.75" customHeight="1">
      <c r="A28" s="207" t="s">
        <v>40</v>
      </c>
      <c r="B28" s="207"/>
      <c r="C28" s="129">
        <f>SUM(C29:C35)</f>
        <v>14438345048</v>
      </c>
      <c r="D28" s="135">
        <f>SUM(D29:D35)</f>
        <v>11553100272.74</v>
      </c>
      <c r="E28" s="136">
        <f>SUM(E29:E35)</f>
        <v>2632267873.62</v>
      </c>
      <c r="F28" s="22">
        <f aca="true" t="shared" si="2" ref="F28:F43">(E28/D28)*100</f>
        <v>22.784082293745346</v>
      </c>
      <c r="G28" s="107"/>
      <c r="H28" s="162">
        <f>SUM(H29:H35)</f>
        <v>11765958848.51</v>
      </c>
      <c r="I28" s="22">
        <f t="shared" si="1"/>
        <v>101.84243684158312</v>
      </c>
      <c r="J28" s="197">
        <f t="shared" si="0"/>
        <v>-212858575.77000046</v>
      </c>
      <c r="K28" s="198"/>
      <c r="L28" s="198"/>
      <c r="M28" s="23"/>
    </row>
    <row r="29" spans="1:12" s="3" customFormat="1" ht="15.75" customHeight="1">
      <c r="A29" s="207" t="s">
        <v>118</v>
      </c>
      <c r="B29" s="207"/>
      <c r="C29" s="129">
        <v>78501822</v>
      </c>
      <c r="D29" s="135">
        <v>76327757.86</v>
      </c>
      <c r="E29" s="136">
        <f>H29-50513808.16</f>
        <v>12235845.940000005</v>
      </c>
      <c r="F29" s="22">
        <f t="shared" si="2"/>
        <v>16.030663395671773</v>
      </c>
      <c r="G29" s="107"/>
      <c r="H29" s="162">
        <v>62749654.1</v>
      </c>
      <c r="I29" s="22">
        <f t="shared" si="1"/>
        <v>82.21079180014054</v>
      </c>
      <c r="J29" s="197">
        <f t="shared" si="0"/>
        <v>13578103.759999998</v>
      </c>
      <c r="K29" s="198"/>
      <c r="L29" s="198"/>
    </row>
    <row r="30" spans="1:12" s="3" customFormat="1" ht="15.75" customHeight="1">
      <c r="A30" s="207" t="s">
        <v>119</v>
      </c>
      <c r="B30" s="207"/>
      <c r="C30" s="129">
        <v>264086854</v>
      </c>
      <c r="D30" s="135">
        <v>399782980.22</v>
      </c>
      <c r="E30" s="136">
        <f>H30-391128274.15</f>
        <v>64420364.360000014</v>
      </c>
      <c r="F30" s="22">
        <f t="shared" si="2"/>
        <v>16.11383364157963</v>
      </c>
      <c r="G30" s="107"/>
      <c r="H30" s="162">
        <v>455548638.51</v>
      </c>
      <c r="I30" s="22">
        <f t="shared" si="1"/>
        <v>113.94898258532973</v>
      </c>
      <c r="J30" s="197">
        <f t="shared" si="0"/>
        <v>-55765658.28999996</v>
      </c>
      <c r="K30" s="198"/>
      <c r="L30" s="198"/>
    </row>
    <row r="31" spans="1:12" s="3" customFormat="1" ht="15.75" customHeight="1">
      <c r="A31" s="207" t="s">
        <v>122</v>
      </c>
      <c r="B31" s="207"/>
      <c r="C31" s="129">
        <v>19616847</v>
      </c>
      <c r="D31" s="135">
        <v>19733932.9</v>
      </c>
      <c r="E31" s="136">
        <f>H31-12182877.04</f>
        <v>2703073.4400000013</v>
      </c>
      <c r="F31" s="22">
        <f t="shared" si="2"/>
        <v>13.697591117278005</v>
      </c>
      <c r="G31" s="107"/>
      <c r="H31" s="162">
        <v>14885950.48</v>
      </c>
      <c r="I31" s="22">
        <f t="shared" si="1"/>
        <v>75.43326794224582</v>
      </c>
      <c r="J31" s="197">
        <f t="shared" si="0"/>
        <v>4847982.419999998</v>
      </c>
      <c r="K31" s="198"/>
      <c r="L31" s="198"/>
    </row>
    <row r="32" spans="1:12" s="3" customFormat="1" ht="15.75" customHeight="1">
      <c r="A32" s="207" t="s">
        <v>120</v>
      </c>
      <c r="B32" s="207"/>
      <c r="C32" s="129">
        <v>70440482</v>
      </c>
      <c r="D32" s="135">
        <v>67587061.2</v>
      </c>
      <c r="E32" s="136">
        <f>H32-57994242.86</f>
        <v>11541277.280000001</v>
      </c>
      <c r="F32" s="22">
        <f t="shared" si="2"/>
        <v>17.076163802784194</v>
      </c>
      <c r="G32" s="107"/>
      <c r="H32" s="162">
        <v>69535520.14</v>
      </c>
      <c r="I32" s="22">
        <f t="shared" si="1"/>
        <v>102.88288750155037</v>
      </c>
      <c r="J32" s="197">
        <f t="shared" si="0"/>
        <v>-1948458.9399999976</v>
      </c>
      <c r="K32" s="198"/>
      <c r="L32" s="198"/>
    </row>
    <row r="33" spans="1:12" s="3" customFormat="1" ht="15.75" customHeight="1">
      <c r="A33" s="207" t="s">
        <v>121</v>
      </c>
      <c r="B33" s="207"/>
      <c r="C33" s="129">
        <v>0</v>
      </c>
      <c r="D33" s="135">
        <v>0</v>
      </c>
      <c r="E33" s="136">
        <f>H33-0</f>
        <v>0</v>
      </c>
      <c r="F33" s="22">
        <v>0</v>
      </c>
      <c r="G33" s="107"/>
      <c r="H33" s="108">
        <v>0</v>
      </c>
      <c r="I33" s="22">
        <v>0</v>
      </c>
      <c r="J33" s="195">
        <f t="shared" si="0"/>
        <v>0</v>
      </c>
      <c r="K33" s="196"/>
      <c r="L33" s="196"/>
    </row>
    <row r="34" spans="1:12" s="3" customFormat="1" ht="15.75" customHeight="1">
      <c r="A34" s="207" t="s">
        <v>124</v>
      </c>
      <c r="B34" s="207"/>
      <c r="C34" s="129">
        <v>0</v>
      </c>
      <c r="D34" s="135">
        <v>0</v>
      </c>
      <c r="E34" s="136">
        <f>H34-0</f>
        <v>21086252.69</v>
      </c>
      <c r="F34" s="22">
        <v>0</v>
      </c>
      <c r="G34" s="107"/>
      <c r="H34" s="162">
        <v>21086252.69</v>
      </c>
      <c r="I34" s="22">
        <v>0</v>
      </c>
      <c r="J34" s="197">
        <f t="shared" si="0"/>
        <v>-21086252.69</v>
      </c>
      <c r="K34" s="198"/>
      <c r="L34" s="198"/>
    </row>
    <row r="35" spans="1:12" s="3" customFormat="1" ht="15.75" customHeight="1">
      <c r="A35" s="207" t="s">
        <v>123</v>
      </c>
      <c r="B35" s="207"/>
      <c r="C35" s="129">
        <v>14005699043</v>
      </c>
      <c r="D35" s="135">
        <v>10989668540.56</v>
      </c>
      <c r="E35" s="136">
        <f>H35-8621871772.68</f>
        <v>2520281059.91</v>
      </c>
      <c r="F35" s="22">
        <f t="shared" si="2"/>
        <v>22.93318538778763</v>
      </c>
      <c r="G35" s="107"/>
      <c r="H35" s="162">
        <v>11142152832.59</v>
      </c>
      <c r="I35" s="22">
        <f t="shared" si="1"/>
        <v>101.38752403193254</v>
      </c>
      <c r="J35" s="197">
        <f t="shared" si="0"/>
        <v>-152484292.0300007</v>
      </c>
      <c r="K35" s="198"/>
      <c r="L35" s="198"/>
    </row>
    <row r="36" spans="1:13" s="3" customFormat="1" ht="15.75" customHeight="1">
      <c r="A36" s="207" t="s">
        <v>41</v>
      </c>
      <c r="B36" s="207"/>
      <c r="C36" s="129">
        <v>160150</v>
      </c>
      <c r="D36" s="135">
        <v>160150</v>
      </c>
      <c r="E36" s="136">
        <f>H36-6848</f>
        <v>1490</v>
      </c>
      <c r="F36" s="22">
        <f t="shared" si="2"/>
        <v>0.9303777708398377</v>
      </c>
      <c r="G36" s="107"/>
      <c r="H36" s="162">
        <v>8338</v>
      </c>
      <c r="I36" s="22">
        <f t="shared" si="1"/>
        <v>5.2063690290352795</v>
      </c>
      <c r="J36" s="197">
        <f t="shared" si="0"/>
        <v>151812</v>
      </c>
      <c r="K36" s="198"/>
      <c r="L36" s="198"/>
      <c r="M36" s="18"/>
    </row>
    <row r="37" spans="1:13" s="3" customFormat="1" ht="15.75" customHeight="1">
      <c r="A37" s="207" t="s">
        <v>42</v>
      </c>
      <c r="B37" s="207"/>
      <c r="C37" s="129">
        <v>91704674</v>
      </c>
      <c r="D37" s="135">
        <v>91704674</v>
      </c>
      <c r="E37" s="136">
        <f>H37-22374637.86</f>
        <v>47262.210000000894</v>
      </c>
      <c r="F37" s="22">
        <f t="shared" si="2"/>
        <v>0.051537405825139174</v>
      </c>
      <c r="G37" s="107"/>
      <c r="H37" s="162">
        <v>22421900.07</v>
      </c>
      <c r="I37" s="22">
        <f t="shared" si="1"/>
        <v>24.450116980951268</v>
      </c>
      <c r="J37" s="197">
        <f t="shared" si="0"/>
        <v>69282773.93</v>
      </c>
      <c r="K37" s="198"/>
      <c r="L37" s="198"/>
      <c r="M37" s="18"/>
    </row>
    <row r="38" spans="1:13" s="3" customFormat="1" ht="15.75" customHeight="1">
      <c r="A38" s="207" t="s">
        <v>43</v>
      </c>
      <c r="B38" s="207"/>
      <c r="C38" s="129">
        <f>SUM(C39:C43)</f>
        <v>381449580</v>
      </c>
      <c r="D38" s="135">
        <f>SUM(D39:D43)</f>
        <v>377732908.6</v>
      </c>
      <c r="E38" s="136">
        <f>SUM(E39:E43)</f>
        <v>50764088.19999999</v>
      </c>
      <c r="F38" s="22">
        <f t="shared" si="2"/>
        <v>13.439148944726067</v>
      </c>
      <c r="G38" s="107"/>
      <c r="H38" s="162">
        <f>SUM(H39:H43)</f>
        <v>268648704.96</v>
      </c>
      <c r="I38" s="22">
        <f t="shared" si="1"/>
        <v>71.12133966714701</v>
      </c>
      <c r="J38" s="197">
        <f t="shared" si="0"/>
        <v>109084203.64000005</v>
      </c>
      <c r="K38" s="198"/>
      <c r="L38" s="198"/>
      <c r="M38" s="18"/>
    </row>
    <row r="39" spans="1:12" s="3" customFormat="1" ht="15.75" customHeight="1">
      <c r="A39" s="207" t="s">
        <v>111</v>
      </c>
      <c r="B39" s="207"/>
      <c r="C39" s="129">
        <v>214871828</v>
      </c>
      <c r="D39" s="135">
        <v>214873924.2</v>
      </c>
      <c r="E39" s="136">
        <f>H39-139898637.13</f>
        <v>33554853.19</v>
      </c>
      <c r="F39" s="22">
        <f t="shared" si="2"/>
        <v>15.616065706869051</v>
      </c>
      <c r="G39" s="107"/>
      <c r="H39" s="162">
        <v>173453490.32</v>
      </c>
      <c r="I39" s="22">
        <f t="shared" si="1"/>
        <v>80.72337812314223</v>
      </c>
      <c r="J39" s="197">
        <f t="shared" si="0"/>
        <v>41420433.879999995</v>
      </c>
      <c r="K39" s="198"/>
      <c r="L39" s="198"/>
    </row>
    <row r="40" spans="1:12" s="3" customFormat="1" ht="15.75" customHeight="1">
      <c r="A40" s="207" t="s">
        <v>112</v>
      </c>
      <c r="B40" s="207"/>
      <c r="C40" s="129">
        <v>29118080</v>
      </c>
      <c r="D40" s="135">
        <v>29118080</v>
      </c>
      <c r="E40" s="136">
        <f>H40-8654840.38</f>
        <v>982847.3899999987</v>
      </c>
      <c r="F40" s="22">
        <f t="shared" si="2"/>
        <v>3.3753852932610897</v>
      </c>
      <c r="G40" s="107"/>
      <c r="H40" s="162">
        <v>9637687.77</v>
      </c>
      <c r="I40" s="22">
        <f t="shared" si="1"/>
        <v>33.09863758187353</v>
      </c>
      <c r="J40" s="203">
        <f t="shared" si="0"/>
        <v>19480392.23</v>
      </c>
      <c r="K40" s="204"/>
      <c r="L40" s="204"/>
    </row>
    <row r="41" spans="1:12" s="3" customFormat="1" ht="15.75" customHeight="1">
      <c r="A41" s="207" t="s">
        <v>113</v>
      </c>
      <c r="B41" s="207"/>
      <c r="C41" s="129">
        <v>69811021</v>
      </c>
      <c r="D41" s="135">
        <v>69811021</v>
      </c>
      <c r="E41" s="136">
        <f>H41-54216340.06</f>
        <v>13137220.039999992</v>
      </c>
      <c r="F41" s="22">
        <f t="shared" si="2"/>
        <v>18.8182608588406</v>
      </c>
      <c r="G41" s="107"/>
      <c r="H41" s="162">
        <v>67353560.1</v>
      </c>
      <c r="I41" s="22">
        <f t="shared" si="1"/>
        <v>96.4798381905917</v>
      </c>
      <c r="J41" s="203">
        <f t="shared" si="0"/>
        <v>2457460.900000006</v>
      </c>
      <c r="K41" s="204"/>
      <c r="L41" s="204"/>
    </row>
    <row r="42" spans="1:12" s="3" customFormat="1" ht="15.75" customHeight="1">
      <c r="A42" s="207" t="s">
        <v>114</v>
      </c>
      <c r="B42" s="207"/>
      <c r="C42" s="129">
        <v>30921641</v>
      </c>
      <c r="D42" s="135">
        <v>26671902.29</v>
      </c>
      <c r="E42" s="136">
        <f>H42-3695017.76</f>
        <v>589162.2400000002</v>
      </c>
      <c r="F42" s="22">
        <f t="shared" si="2"/>
        <v>2.2089247088344828</v>
      </c>
      <c r="G42" s="107"/>
      <c r="H42" s="162">
        <v>4284180</v>
      </c>
      <c r="I42" s="22">
        <f t="shared" si="1"/>
        <v>16.06252135081588</v>
      </c>
      <c r="J42" s="203">
        <f t="shared" si="0"/>
        <v>22387722.29</v>
      </c>
      <c r="K42" s="204"/>
      <c r="L42" s="204"/>
    </row>
    <row r="43" spans="1:12" s="3" customFormat="1" ht="15.75" customHeight="1">
      <c r="A43" s="207" t="s">
        <v>115</v>
      </c>
      <c r="B43" s="207"/>
      <c r="C43" s="129">
        <v>36727010</v>
      </c>
      <c r="D43" s="135">
        <v>37257981.11</v>
      </c>
      <c r="E43" s="136">
        <f>H43-11419781.43</f>
        <v>2500005.34</v>
      </c>
      <c r="F43" s="22">
        <f t="shared" si="2"/>
        <v>6.70998606343971</v>
      </c>
      <c r="G43" s="107"/>
      <c r="H43" s="162">
        <v>13919786.77</v>
      </c>
      <c r="I43" s="22">
        <f t="shared" si="1"/>
        <v>37.36055029096556</v>
      </c>
      <c r="J43" s="203">
        <f t="shared" si="0"/>
        <v>23338194.34</v>
      </c>
      <c r="K43" s="204"/>
      <c r="L43" s="204"/>
    </row>
    <row r="44" spans="1:13" s="3" customFormat="1" ht="15.75" customHeight="1">
      <c r="A44" s="207" t="s">
        <v>44</v>
      </c>
      <c r="B44" s="207"/>
      <c r="C44" s="129">
        <f>SUM(C45:C52)</f>
        <v>7669450586</v>
      </c>
      <c r="D44" s="135">
        <f>SUM(D45:D52)</f>
        <v>8902588239.2</v>
      </c>
      <c r="E44" s="136">
        <f>SUM(E45:E52)</f>
        <v>1428737337.49</v>
      </c>
      <c r="F44" s="22">
        <f aca="true" t="shared" si="3" ref="F44:F82">(E44/D44)*100</f>
        <v>16.04856137453335</v>
      </c>
      <c r="G44" s="107"/>
      <c r="H44" s="162">
        <f>SUM(H45:H52)</f>
        <v>9290254869.12</v>
      </c>
      <c r="I44" s="22">
        <f t="shared" si="1"/>
        <v>104.35453847245255</v>
      </c>
      <c r="J44" s="197">
        <f t="shared" si="0"/>
        <v>-387666629.9200001</v>
      </c>
      <c r="K44" s="198"/>
      <c r="L44" s="198"/>
      <c r="M44" s="18"/>
    </row>
    <row r="45" spans="1:12" s="3" customFormat="1" ht="15.75" customHeight="1">
      <c r="A45" s="207" t="s">
        <v>106</v>
      </c>
      <c r="B45" s="207"/>
      <c r="C45" s="129">
        <v>4698811550</v>
      </c>
      <c r="D45" s="135">
        <v>5931949203.2</v>
      </c>
      <c r="E45" s="136">
        <f>H45-5562834720.55</f>
        <v>771705543.6099997</v>
      </c>
      <c r="F45" s="22">
        <f t="shared" si="3"/>
        <v>13.009308022963209</v>
      </c>
      <c r="G45" s="107"/>
      <c r="H45" s="162">
        <v>6334540264.16</v>
      </c>
      <c r="I45" s="22">
        <f t="shared" si="1"/>
        <v>106.78682583362011</v>
      </c>
      <c r="J45" s="197">
        <f t="shared" si="0"/>
        <v>-402591060.96000004</v>
      </c>
      <c r="K45" s="198"/>
      <c r="L45" s="198"/>
    </row>
    <row r="46" spans="1:12" s="3" customFormat="1" ht="15.75" customHeight="1">
      <c r="A46" s="207" t="s">
        <v>107</v>
      </c>
      <c r="B46" s="207"/>
      <c r="C46" s="129">
        <v>0</v>
      </c>
      <c r="D46" s="135">
        <v>0</v>
      </c>
      <c r="E46" s="136">
        <f>H46-8800</f>
        <v>0</v>
      </c>
      <c r="F46" s="22">
        <v>0</v>
      </c>
      <c r="G46" s="107"/>
      <c r="H46" s="162">
        <v>8800</v>
      </c>
      <c r="I46" s="22" t="e">
        <f t="shared" si="1"/>
        <v>#DIV/0!</v>
      </c>
      <c r="J46" s="197">
        <f t="shared" si="0"/>
        <v>-8800</v>
      </c>
      <c r="K46" s="198"/>
      <c r="L46" s="198"/>
    </row>
    <row r="47" spans="1:12" s="3" customFormat="1" ht="15.75" customHeight="1">
      <c r="A47" s="207" t="s">
        <v>108</v>
      </c>
      <c r="B47" s="207"/>
      <c r="C47" s="129">
        <v>63622628</v>
      </c>
      <c r="D47" s="135">
        <v>63622628</v>
      </c>
      <c r="E47" s="136">
        <f>H47-68856210.38</f>
        <v>14175729.719999999</v>
      </c>
      <c r="F47" s="22">
        <f t="shared" si="3"/>
        <v>22.280955951709505</v>
      </c>
      <c r="G47" s="107"/>
      <c r="H47" s="162">
        <v>83031940.1</v>
      </c>
      <c r="I47" s="22">
        <f t="shared" si="1"/>
        <v>130.5069323763237</v>
      </c>
      <c r="J47" s="197">
        <f t="shared" si="0"/>
        <v>-19409312.099999994</v>
      </c>
      <c r="K47" s="198"/>
      <c r="L47" s="198"/>
    </row>
    <row r="48" spans="1:12" s="3" customFormat="1" ht="15.75" customHeight="1">
      <c r="A48" s="207" t="s">
        <v>45</v>
      </c>
      <c r="B48" s="207"/>
      <c r="C48" s="129">
        <v>33349815</v>
      </c>
      <c r="D48" s="135">
        <v>33349815</v>
      </c>
      <c r="E48" s="136">
        <f>H48-11190874.27</f>
        <v>2853662.75</v>
      </c>
      <c r="F48" s="22">
        <f t="shared" si="3"/>
        <v>8.556757361322694</v>
      </c>
      <c r="G48" s="107"/>
      <c r="H48" s="162">
        <v>14044537.02</v>
      </c>
      <c r="I48" s="22">
        <f t="shared" si="1"/>
        <v>42.11278839177968</v>
      </c>
      <c r="J48" s="197">
        <f t="shared" si="0"/>
        <v>19305277.98</v>
      </c>
      <c r="K48" s="198"/>
      <c r="L48" s="198"/>
    </row>
    <row r="49" spans="1:12" s="3" customFormat="1" ht="15.75" customHeight="1">
      <c r="A49" s="207" t="s">
        <v>91</v>
      </c>
      <c r="B49" s="207"/>
      <c r="C49" s="129">
        <v>2873646593</v>
      </c>
      <c r="D49" s="135">
        <v>2873646593</v>
      </c>
      <c r="E49" s="136">
        <f>H49-2212364995.22</f>
        <v>639548772.0800004</v>
      </c>
      <c r="F49" s="22">
        <f t="shared" si="3"/>
        <v>22.255651534809324</v>
      </c>
      <c r="G49" s="107"/>
      <c r="H49" s="162">
        <v>2851913767.3</v>
      </c>
      <c r="I49" s="22">
        <f t="shared" si="1"/>
        <v>99.24371960863458</v>
      </c>
      <c r="J49" s="197">
        <f aca="true" t="shared" si="4" ref="J49:J82">D49-H49</f>
        <v>21732825.69999981</v>
      </c>
      <c r="K49" s="198"/>
      <c r="L49" s="198"/>
    </row>
    <row r="50" spans="1:12" s="3" customFormat="1" ht="15.75" customHeight="1">
      <c r="A50" s="207" t="s">
        <v>46</v>
      </c>
      <c r="B50" s="207"/>
      <c r="C50" s="129">
        <v>0</v>
      </c>
      <c r="D50" s="135">
        <v>0</v>
      </c>
      <c r="E50" s="136">
        <f>H50-2406.15</f>
        <v>50880</v>
      </c>
      <c r="F50" s="22">
        <v>0</v>
      </c>
      <c r="G50" s="112"/>
      <c r="H50" s="167">
        <v>53286.15</v>
      </c>
      <c r="I50" s="22">
        <v>0</v>
      </c>
      <c r="J50" s="203">
        <f t="shared" si="4"/>
        <v>-53286.15</v>
      </c>
      <c r="K50" s="204"/>
      <c r="L50" s="204"/>
    </row>
    <row r="51" spans="1:12" s="3" customFormat="1" ht="15.75" customHeight="1">
      <c r="A51" s="207" t="s">
        <v>109</v>
      </c>
      <c r="B51" s="207"/>
      <c r="C51" s="129">
        <v>20000</v>
      </c>
      <c r="D51" s="135">
        <v>20000</v>
      </c>
      <c r="E51" s="136">
        <f>H51-6259525.06</f>
        <v>402749.3300000001</v>
      </c>
      <c r="F51" s="22">
        <f t="shared" si="3"/>
        <v>2013.7466500000003</v>
      </c>
      <c r="G51" s="107"/>
      <c r="H51" s="162">
        <v>6662274.39</v>
      </c>
      <c r="I51" s="22">
        <f t="shared" si="1"/>
        <v>33311.37195</v>
      </c>
      <c r="J51" s="203">
        <f t="shared" si="4"/>
        <v>-6642274.39</v>
      </c>
      <c r="K51" s="204"/>
      <c r="L51" s="204"/>
    </row>
    <row r="52" spans="1:12" s="3" customFormat="1" ht="15.75" customHeight="1">
      <c r="A52" s="207" t="s">
        <v>110</v>
      </c>
      <c r="B52" s="207"/>
      <c r="C52" s="129">
        <v>0</v>
      </c>
      <c r="D52" s="135">
        <v>0</v>
      </c>
      <c r="E52" s="136">
        <f>G52-0</f>
        <v>0</v>
      </c>
      <c r="F52" s="22">
        <v>0</v>
      </c>
      <c r="G52" s="107"/>
      <c r="H52" s="108">
        <v>0</v>
      </c>
      <c r="I52" s="22">
        <v>0</v>
      </c>
      <c r="J52" s="199">
        <f t="shared" si="4"/>
        <v>0</v>
      </c>
      <c r="K52" s="200"/>
      <c r="L52" s="200"/>
    </row>
    <row r="53" spans="1:13" s="3" customFormat="1" ht="15.75" customHeight="1">
      <c r="A53" s="207" t="s">
        <v>47</v>
      </c>
      <c r="B53" s="207"/>
      <c r="C53" s="129">
        <f>SUM(C54:C57)</f>
        <v>1428183486</v>
      </c>
      <c r="D53" s="135">
        <f>SUM(D54:D57)</f>
        <v>1524338664.8200002</v>
      </c>
      <c r="E53" s="136">
        <f>SUM(E54:E57)</f>
        <v>269333383.71000004</v>
      </c>
      <c r="F53" s="22">
        <f t="shared" si="3"/>
        <v>17.668867813033135</v>
      </c>
      <c r="G53" s="112"/>
      <c r="H53" s="165">
        <f>SUM(H54:H57)</f>
        <v>1532665477.14</v>
      </c>
      <c r="I53" s="22">
        <f t="shared" si="1"/>
        <v>100.54625737128981</v>
      </c>
      <c r="J53" s="197">
        <f t="shared" si="4"/>
        <v>-8326812.319999933</v>
      </c>
      <c r="K53" s="198"/>
      <c r="L53" s="198"/>
      <c r="M53" s="24"/>
    </row>
    <row r="54" spans="1:12" s="3" customFormat="1" ht="15.75" customHeight="1">
      <c r="A54" s="207" t="s">
        <v>102</v>
      </c>
      <c r="B54" s="207"/>
      <c r="C54" s="129">
        <v>369151641</v>
      </c>
      <c r="D54" s="135">
        <v>333379651.17</v>
      </c>
      <c r="E54" s="136">
        <f>H54-296027168.35</f>
        <v>134822009.7</v>
      </c>
      <c r="F54" s="22">
        <f t="shared" si="3"/>
        <v>40.440983493395734</v>
      </c>
      <c r="G54" s="112"/>
      <c r="H54" s="165">
        <v>430849178.05</v>
      </c>
      <c r="I54" s="22">
        <f t="shared" si="1"/>
        <v>129.2367955086429</v>
      </c>
      <c r="J54" s="197">
        <f t="shared" si="4"/>
        <v>-97469526.88</v>
      </c>
      <c r="K54" s="198"/>
      <c r="L54" s="198"/>
    </row>
    <row r="55" spans="1:12" s="3" customFormat="1" ht="15.75" customHeight="1">
      <c r="A55" s="207" t="s">
        <v>103</v>
      </c>
      <c r="B55" s="207"/>
      <c r="C55" s="129">
        <v>254946418</v>
      </c>
      <c r="D55" s="135">
        <v>404150986.17</v>
      </c>
      <c r="E55" s="136">
        <f>H55-484110510.2</f>
        <v>32511600.150000036</v>
      </c>
      <c r="F55" s="22">
        <f t="shared" si="3"/>
        <v>8.044419353791833</v>
      </c>
      <c r="G55" s="112"/>
      <c r="H55" s="165">
        <v>516622110.35</v>
      </c>
      <c r="I55" s="22">
        <f t="shared" si="1"/>
        <v>127.82898669773151</v>
      </c>
      <c r="J55" s="197">
        <f t="shared" si="4"/>
        <v>-112471124.18</v>
      </c>
      <c r="K55" s="198"/>
      <c r="L55" s="198"/>
    </row>
    <row r="56" spans="1:12" s="3" customFormat="1" ht="15.75" customHeight="1">
      <c r="A56" s="207" t="s">
        <v>104</v>
      </c>
      <c r="B56" s="207"/>
      <c r="C56" s="129">
        <v>100000</v>
      </c>
      <c r="D56" s="22">
        <v>100000</v>
      </c>
      <c r="E56" s="136">
        <f>H56-17277</f>
        <v>0</v>
      </c>
      <c r="F56" s="22">
        <f t="shared" si="3"/>
        <v>0</v>
      </c>
      <c r="G56" s="112"/>
      <c r="H56" s="165">
        <v>17277</v>
      </c>
      <c r="I56" s="22">
        <f t="shared" si="1"/>
        <v>17.277</v>
      </c>
      <c r="J56" s="197">
        <f t="shared" si="4"/>
        <v>82723</v>
      </c>
      <c r="K56" s="198"/>
      <c r="L56" s="198"/>
    </row>
    <row r="57" spans="1:12" s="3" customFormat="1" ht="15.75" customHeight="1">
      <c r="A57" s="207" t="s">
        <v>105</v>
      </c>
      <c r="B57" s="207"/>
      <c r="C57" s="129">
        <v>803985427</v>
      </c>
      <c r="D57" s="129">
        <v>786708027.48</v>
      </c>
      <c r="E57" s="136">
        <f>H57-483177137.88</f>
        <v>101999773.86000001</v>
      </c>
      <c r="F57" s="22">
        <f t="shared" si="3"/>
        <v>12.96539126297311</v>
      </c>
      <c r="G57" s="112"/>
      <c r="H57" s="165">
        <v>585176911.74</v>
      </c>
      <c r="I57" s="22">
        <f t="shared" si="1"/>
        <v>74.38298470328964</v>
      </c>
      <c r="J57" s="197">
        <f t="shared" si="4"/>
        <v>201531115.74</v>
      </c>
      <c r="K57" s="198"/>
      <c r="L57" s="198"/>
    </row>
    <row r="58" spans="1:13" s="3" customFormat="1" ht="15.75" customHeight="1">
      <c r="A58" s="232" t="s">
        <v>48</v>
      </c>
      <c r="B58" s="232"/>
      <c r="C58" s="133">
        <f>C59+C62+C66+C67+C76</f>
        <v>1264211056</v>
      </c>
      <c r="D58" s="134">
        <f>D59+D62+D66+D67+D76</f>
        <v>1193911659.63</v>
      </c>
      <c r="E58" s="132">
        <f>E59+E62+E66+E67+E76</f>
        <v>53620884.230000004</v>
      </c>
      <c r="F58" s="17">
        <f t="shared" si="3"/>
        <v>4.491193615331424</v>
      </c>
      <c r="G58" s="113"/>
      <c r="H58" s="166">
        <f>H59+H62+H66+H67+H76</f>
        <v>181996677.81</v>
      </c>
      <c r="I58" s="17">
        <f t="shared" si="1"/>
        <v>15.243730668180408</v>
      </c>
      <c r="J58" s="230">
        <f t="shared" si="4"/>
        <v>1011914981.8200002</v>
      </c>
      <c r="K58" s="231"/>
      <c r="L58" s="231"/>
      <c r="M58" s="15"/>
    </row>
    <row r="59" spans="1:13" s="3" customFormat="1" ht="15.75" customHeight="1">
      <c r="A59" s="207" t="s">
        <v>49</v>
      </c>
      <c r="B59" s="207"/>
      <c r="C59" s="129">
        <f>C60+C61</f>
        <v>738892115</v>
      </c>
      <c r="D59" s="135">
        <f>D60+D61</f>
        <v>667436324.25</v>
      </c>
      <c r="E59" s="136">
        <f>E60+E61</f>
        <v>0</v>
      </c>
      <c r="F59" s="22">
        <f t="shared" si="3"/>
        <v>0</v>
      </c>
      <c r="G59" s="112"/>
      <c r="H59" s="165">
        <f>H60+H61</f>
        <v>139600.22</v>
      </c>
      <c r="I59" s="22">
        <f t="shared" si="1"/>
        <v>0.0209158858947135</v>
      </c>
      <c r="J59" s="197">
        <f t="shared" si="4"/>
        <v>667296724.03</v>
      </c>
      <c r="K59" s="198"/>
      <c r="L59" s="198"/>
      <c r="M59" s="24"/>
    </row>
    <row r="60" spans="1:12" s="3" customFormat="1" ht="15.75" customHeight="1">
      <c r="A60" s="207" t="s">
        <v>125</v>
      </c>
      <c r="B60" s="207"/>
      <c r="C60" s="129">
        <v>594736753</v>
      </c>
      <c r="D60" s="135">
        <v>589457552.7</v>
      </c>
      <c r="E60" s="136">
        <f>H60-0</f>
        <v>0</v>
      </c>
      <c r="F60" s="22">
        <v>0</v>
      </c>
      <c r="G60" s="112"/>
      <c r="H60" s="101">
        <v>0</v>
      </c>
      <c r="I60" s="22">
        <v>0</v>
      </c>
      <c r="J60" s="197">
        <f t="shared" si="4"/>
        <v>589457552.7</v>
      </c>
      <c r="K60" s="198"/>
      <c r="L60" s="198"/>
    </row>
    <row r="61" spans="1:12" s="3" customFormat="1" ht="15.75" customHeight="1">
      <c r="A61" s="207" t="s">
        <v>126</v>
      </c>
      <c r="B61" s="207"/>
      <c r="C61" s="129">
        <v>144155362</v>
      </c>
      <c r="D61" s="135">
        <v>77978771.55</v>
      </c>
      <c r="E61" s="136">
        <f>H61-139600.22</f>
        <v>0</v>
      </c>
      <c r="F61" s="22">
        <f t="shared" si="3"/>
        <v>0</v>
      </c>
      <c r="G61" s="112"/>
      <c r="H61" s="165">
        <v>139600.22</v>
      </c>
      <c r="I61" s="22">
        <f t="shared" si="1"/>
        <v>0.17902336395552002</v>
      </c>
      <c r="J61" s="197">
        <f t="shared" si="4"/>
        <v>77839171.33</v>
      </c>
      <c r="K61" s="198"/>
      <c r="L61" s="198"/>
    </row>
    <row r="62" spans="1:12" s="3" customFormat="1" ht="15.75" customHeight="1">
      <c r="A62" s="207" t="s">
        <v>50</v>
      </c>
      <c r="B62" s="207"/>
      <c r="C62" s="129">
        <f>C63+C64+C65</f>
        <v>60050000</v>
      </c>
      <c r="D62" s="135">
        <f>D63+D64+D65</f>
        <v>60050000</v>
      </c>
      <c r="E62" s="136">
        <f>E63+E64+E65</f>
        <v>0</v>
      </c>
      <c r="F62" s="22">
        <f t="shared" si="3"/>
        <v>0</v>
      </c>
      <c r="G62" s="112"/>
      <c r="H62" s="101">
        <f>SUM(H63:H65)</f>
        <v>0</v>
      </c>
      <c r="I62" s="22">
        <f t="shared" si="1"/>
        <v>0</v>
      </c>
      <c r="J62" s="197">
        <f t="shared" si="4"/>
        <v>60050000</v>
      </c>
      <c r="K62" s="198"/>
      <c r="L62" s="198"/>
    </row>
    <row r="63" spans="1:12" s="3" customFormat="1" ht="15.75" customHeight="1">
      <c r="A63" s="207" t="s">
        <v>51</v>
      </c>
      <c r="B63" s="207"/>
      <c r="C63" s="129">
        <v>50000</v>
      </c>
      <c r="D63" s="135">
        <v>50000</v>
      </c>
      <c r="E63" s="136">
        <f>H63-0</f>
        <v>0</v>
      </c>
      <c r="F63" s="22">
        <f t="shared" si="3"/>
        <v>0</v>
      </c>
      <c r="G63" s="112"/>
      <c r="H63" s="101">
        <v>0</v>
      </c>
      <c r="I63" s="22">
        <f t="shared" si="1"/>
        <v>0</v>
      </c>
      <c r="J63" s="197">
        <f t="shared" si="4"/>
        <v>50000</v>
      </c>
      <c r="K63" s="198"/>
      <c r="L63" s="198"/>
    </row>
    <row r="64" spans="1:12" s="3" customFormat="1" ht="15.75" customHeight="1">
      <c r="A64" s="207" t="s">
        <v>52</v>
      </c>
      <c r="B64" s="207"/>
      <c r="C64" s="129">
        <v>60000000</v>
      </c>
      <c r="D64" s="135">
        <v>60000000</v>
      </c>
      <c r="E64" s="136">
        <f>H64-0</f>
        <v>0</v>
      </c>
      <c r="F64" s="22">
        <f t="shared" si="3"/>
        <v>0</v>
      </c>
      <c r="G64" s="112"/>
      <c r="H64" s="101">
        <v>0</v>
      </c>
      <c r="I64" s="22">
        <f t="shared" si="1"/>
        <v>0</v>
      </c>
      <c r="J64" s="197">
        <f t="shared" si="4"/>
        <v>60000000</v>
      </c>
      <c r="K64" s="198"/>
      <c r="L64" s="198"/>
    </row>
    <row r="65" spans="1:12" s="3" customFormat="1" ht="15.75" customHeight="1">
      <c r="A65" s="207" t="s">
        <v>127</v>
      </c>
      <c r="B65" s="207"/>
      <c r="C65" s="129">
        <v>0</v>
      </c>
      <c r="D65" s="135">
        <v>0</v>
      </c>
      <c r="E65" s="136">
        <f>H65</f>
        <v>0</v>
      </c>
      <c r="F65" s="22">
        <v>0</v>
      </c>
      <c r="G65" s="112"/>
      <c r="H65" s="101">
        <v>0</v>
      </c>
      <c r="I65" s="22">
        <v>0</v>
      </c>
      <c r="J65" s="199">
        <f t="shared" si="4"/>
        <v>0</v>
      </c>
      <c r="K65" s="200"/>
      <c r="L65" s="200"/>
    </row>
    <row r="66" spans="1:12" s="3" customFormat="1" ht="15.75" customHeight="1">
      <c r="A66" s="207" t="s">
        <v>53</v>
      </c>
      <c r="B66" s="207"/>
      <c r="C66" s="129">
        <v>80561928</v>
      </c>
      <c r="D66" s="135">
        <v>81718322.38</v>
      </c>
      <c r="E66" s="136">
        <f>H66-95089023.16</f>
        <v>19087280.75</v>
      </c>
      <c r="F66" s="22">
        <f t="shared" si="3"/>
        <v>23.35740650822695</v>
      </c>
      <c r="G66" s="112"/>
      <c r="H66" s="165">
        <v>114176303.91</v>
      </c>
      <c r="I66" s="22">
        <f t="shared" si="1"/>
        <v>139.71934394231258</v>
      </c>
      <c r="J66" s="197">
        <f t="shared" si="4"/>
        <v>-32457981.53</v>
      </c>
      <c r="K66" s="198"/>
      <c r="L66" s="198"/>
    </row>
    <row r="67" spans="1:12" s="3" customFormat="1" ht="15.75" customHeight="1">
      <c r="A67" s="207" t="s">
        <v>54</v>
      </c>
      <c r="B67" s="207"/>
      <c r="C67" s="129">
        <f>SUM(C68:C75)</f>
        <v>373226613</v>
      </c>
      <c r="D67" s="129">
        <f>SUM(D68:D75)</f>
        <v>373226613</v>
      </c>
      <c r="E67" s="136">
        <f>SUM(E68:E75)</f>
        <v>34533603.480000004</v>
      </c>
      <c r="F67" s="22">
        <f t="shared" si="3"/>
        <v>9.252717324313634</v>
      </c>
      <c r="G67" s="112"/>
      <c r="H67" s="165">
        <f>SUM(H68:H75)</f>
        <v>67680773.68</v>
      </c>
      <c r="I67" s="22">
        <f t="shared" si="1"/>
        <v>18.133962403157998</v>
      </c>
      <c r="J67" s="197">
        <f t="shared" si="4"/>
        <v>305545839.32</v>
      </c>
      <c r="K67" s="198"/>
      <c r="L67" s="198"/>
    </row>
    <row r="68" spans="1:12" s="3" customFormat="1" ht="15.75" customHeight="1">
      <c r="A68" s="207" t="s">
        <v>106</v>
      </c>
      <c r="B68" s="207"/>
      <c r="C68" s="129">
        <v>371606613</v>
      </c>
      <c r="D68" s="135">
        <v>371606613</v>
      </c>
      <c r="E68" s="136">
        <f>H68-32776445.58</f>
        <v>34503603.480000004</v>
      </c>
      <c r="F68" s="22">
        <f t="shared" si="3"/>
        <v>9.284981018354484</v>
      </c>
      <c r="G68" s="112"/>
      <c r="H68" s="165">
        <v>67280049.06</v>
      </c>
      <c r="I68" s="22">
        <f t="shared" si="1"/>
        <v>18.105180776209707</v>
      </c>
      <c r="J68" s="197">
        <f t="shared" si="4"/>
        <v>304326563.94</v>
      </c>
      <c r="K68" s="198"/>
      <c r="L68" s="198"/>
    </row>
    <row r="69" spans="1:12" s="3" customFormat="1" ht="15.75" customHeight="1">
      <c r="A69" s="207" t="s">
        <v>107</v>
      </c>
      <c r="B69" s="207"/>
      <c r="C69" s="129">
        <v>0</v>
      </c>
      <c r="D69" s="135">
        <v>0</v>
      </c>
      <c r="E69" s="136">
        <f>H69</f>
        <v>0</v>
      </c>
      <c r="F69" s="22">
        <v>0</v>
      </c>
      <c r="G69" s="112"/>
      <c r="H69" s="101">
        <v>0</v>
      </c>
      <c r="I69" s="22" t="e">
        <f t="shared" si="1"/>
        <v>#DIV/0!</v>
      </c>
      <c r="J69" s="195">
        <f t="shared" si="4"/>
        <v>0</v>
      </c>
      <c r="K69" s="196"/>
      <c r="L69" s="196"/>
    </row>
    <row r="70" spans="1:12" s="3" customFormat="1" ht="15.75" customHeight="1">
      <c r="A70" s="207" t="s">
        <v>108</v>
      </c>
      <c r="B70" s="207"/>
      <c r="C70" s="129">
        <v>0</v>
      </c>
      <c r="D70" s="135">
        <v>0</v>
      </c>
      <c r="E70" s="136">
        <f>H70-0</f>
        <v>0</v>
      </c>
      <c r="F70" s="22">
        <v>0</v>
      </c>
      <c r="G70" s="112"/>
      <c r="H70" s="101"/>
      <c r="I70" s="22">
        <v>0</v>
      </c>
      <c r="J70" s="195">
        <f t="shared" si="4"/>
        <v>0</v>
      </c>
      <c r="K70" s="196"/>
      <c r="L70" s="196"/>
    </row>
    <row r="71" spans="1:12" s="3" customFormat="1" ht="15.75" customHeight="1">
      <c r="A71" s="207" t="s">
        <v>45</v>
      </c>
      <c r="B71" s="207"/>
      <c r="C71" s="129">
        <v>0</v>
      </c>
      <c r="D71" s="135">
        <v>0</v>
      </c>
      <c r="E71" s="136">
        <f>H71-370724.62</f>
        <v>30000</v>
      </c>
      <c r="F71" s="22">
        <v>0</v>
      </c>
      <c r="G71" s="112"/>
      <c r="H71" s="165">
        <v>400724.62</v>
      </c>
      <c r="I71" s="22">
        <v>0</v>
      </c>
      <c r="J71" s="197">
        <f t="shared" si="4"/>
        <v>-400724.62</v>
      </c>
      <c r="K71" s="198"/>
      <c r="L71" s="198"/>
    </row>
    <row r="72" spans="1:12" s="3" customFormat="1" ht="15.75" customHeight="1">
      <c r="A72" s="207" t="s">
        <v>91</v>
      </c>
      <c r="B72" s="207"/>
      <c r="C72" s="129">
        <v>0</v>
      </c>
      <c r="D72" s="135">
        <v>0</v>
      </c>
      <c r="E72" s="136">
        <f>H72</f>
        <v>0</v>
      </c>
      <c r="F72" s="22">
        <v>0</v>
      </c>
      <c r="G72" s="112"/>
      <c r="H72" s="101">
        <v>0</v>
      </c>
      <c r="I72" s="22">
        <v>0</v>
      </c>
      <c r="J72" s="195">
        <f t="shared" si="4"/>
        <v>0</v>
      </c>
      <c r="K72" s="196"/>
      <c r="L72" s="196"/>
    </row>
    <row r="73" spans="1:12" s="3" customFormat="1" ht="15.75" customHeight="1">
      <c r="A73" s="207" t="s">
        <v>46</v>
      </c>
      <c r="B73" s="207"/>
      <c r="C73" s="129">
        <v>0</v>
      </c>
      <c r="D73" s="135">
        <v>0</v>
      </c>
      <c r="E73" s="136">
        <f>H73</f>
        <v>0</v>
      </c>
      <c r="F73" s="22">
        <v>0</v>
      </c>
      <c r="G73" s="112"/>
      <c r="H73" s="101">
        <v>0</v>
      </c>
      <c r="I73" s="22">
        <v>0</v>
      </c>
      <c r="J73" s="195">
        <f t="shared" si="4"/>
        <v>0</v>
      </c>
      <c r="K73" s="196"/>
      <c r="L73" s="196"/>
    </row>
    <row r="74" spans="1:12" s="3" customFormat="1" ht="15.75" customHeight="1">
      <c r="A74" s="207" t="s">
        <v>109</v>
      </c>
      <c r="B74" s="207"/>
      <c r="C74" s="129">
        <v>1620000</v>
      </c>
      <c r="D74" s="135">
        <v>1620000</v>
      </c>
      <c r="E74" s="136">
        <f>H74</f>
        <v>0</v>
      </c>
      <c r="F74" s="22">
        <f t="shared" si="3"/>
        <v>0</v>
      </c>
      <c r="G74" s="112"/>
      <c r="H74" s="101">
        <v>0</v>
      </c>
      <c r="I74" s="22">
        <f t="shared" si="1"/>
        <v>0</v>
      </c>
      <c r="J74" s="203">
        <f t="shared" si="4"/>
        <v>1620000</v>
      </c>
      <c r="K74" s="204"/>
      <c r="L74" s="204"/>
    </row>
    <row r="75" spans="1:12" s="3" customFormat="1" ht="15.75" customHeight="1">
      <c r="A75" s="207" t="s">
        <v>110</v>
      </c>
      <c r="B75" s="207"/>
      <c r="C75" s="129">
        <v>0</v>
      </c>
      <c r="D75" s="135">
        <v>0</v>
      </c>
      <c r="E75" s="136">
        <f>H75</f>
        <v>0</v>
      </c>
      <c r="F75" s="22">
        <v>0</v>
      </c>
      <c r="G75" s="112"/>
      <c r="H75" s="101">
        <v>0</v>
      </c>
      <c r="I75" s="22">
        <v>0</v>
      </c>
      <c r="J75" s="199">
        <f t="shared" si="4"/>
        <v>0</v>
      </c>
      <c r="K75" s="200"/>
      <c r="L75" s="200"/>
    </row>
    <row r="76" spans="1:12" s="3" customFormat="1" ht="15.75" customHeight="1">
      <c r="A76" s="208" t="s">
        <v>55</v>
      </c>
      <c r="B76" s="207"/>
      <c r="C76" s="129">
        <f>SUM(C77:C80)</f>
        <v>11480400</v>
      </c>
      <c r="D76" s="135">
        <f>SUM(D77:D80)</f>
        <v>11480400</v>
      </c>
      <c r="E76" s="136">
        <f>SUM(E77:E80)</f>
        <v>0</v>
      </c>
      <c r="F76" s="22">
        <v>0</v>
      </c>
      <c r="G76" s="112"/>
      <c r="H76" s="101">
        <f>SUM(H77:H80)</f>
        <v>0</v>
      </c>
      <c r="I76" s="22">
        <v>0</v>
      </c>
      <c r="J76" s="197">
        <f t="shared" si="4"/>
        <v>11480400</v>
      </c>
      <c r="K76" s="198"/>
      <c r="L76" s="198"/>
    </row>
    <row r="77" spans="1:12" s="3" customFormat="1" ht="15.75" customHeight="1">
      <c r="A77" s="207" t="s">
        <v>128</v>
      </c>
      <c r="B77" s="207"/>
      <c r="C77" s="129">
        <v>0</v>
      </c>
      <c r="D77" s="135">
        <v>0</v>
      </c>
      <c r="E77" s="136">
        <f>H77</f>
        <v>0</v>
      </c>
      <c r="F77" s="22">
        <v>0</v>
      </c>
      <c r="G77" s="112"/>
      <c r="H77" s="101">
        <v>0</v>
      </c>
      <c r="I77" s="22">
        <v>0</v>
      </c>
      <c r="J77" s="195">
        <f t="shared" si="4"/>
        <v>0</v>
      </c>
      <c r="K77" s="196"/>
      <c r="L77" s="196"/>
    </row>
    <row r="78" spans="1:12" s="3" customFormat="1" ht="15.75" customHeight="1">
      <c r="A78" s="207" t="s">
        <v>129</v>
      </c>
      <c r="B78" s="207"/>
      <c r="C78" s="129">
        <v>0</v>
      </c>
      <c r="D78" s="135">
        <v>0</v>
      </c>
      <c r="E78" s="136">
        <f>H78</f>
        <v>0</v>
      </c>
      <c r="F78" s="22">
        <v>0</v>
      </c>
      <c r="G78" s="112"/>
      <c r="H78" s="101">
        <v>0</v>
      </c>
      <c r="I78" s="22">
        <v>0</v>
      </c>
      <c r="J78" s="195">
        <f t="shared" si="4"/>
        <v>0</v>
      </c>
      <c r="K78" s="196"/>
      <c r="L78" s="196"/>
    </row>
    <row r="79" spans="1:12" s="3" customFormat="1" ht="15.75" customHeight="1">
      <c r="A79" s="207" t="s">
        <v>130</v>
      </c>
      <c r="B79" s="207"/>
      <c r="C79" s="129">
        <v>0</v>
      </c>
      <c r="D79" s="135">
        <v>0</v>
      </c>
      <c r="E79" s="136">
        <f>H79</f>
        <v>0</v>
      </c>
      <c r="F79" s="22">
        <v>0</v>
      </c>
      <c r="G79" s="112"/>
      <c r="H79" s="101">
        <v>0</v>
      </c>
      <c r="I79" s="22">
        <v>0</v>
      </c>
      <c r="J79" s="195">
        <f t="shared" si="4"/>
        <v>0</v>
      </c>
      <c r="K79" s="196"/>
      <c r="L79" s="196"/>
    </row>
    <row r="80" spans="1:12" s="3" customFormat="1" ht="15.75" customHeight="1">
      <c r="A80" s="207" t="s">
        <v>131</v>
      </c>
      <c r="B80" s="207"/>
      <c r="C80" s="129">
        <v>11480400</v>
      </c>
      <c r="D80" s="135">
        <v>11480400</v>
      </c>
      <c r="E80" s="136">
        <f>H80</f>
        <v>0</v>
      </c>
      <c r="F80" s="22">
        <v>0</v>
      </c>
      <c r="G80" s="112"/>
      <c r="H80" s="101">
        <v>0</v>
      </c>
      <c r="I80" s="22">
        <v>0</v>
      </c>
      <c r="J80" s="197">
        <f t="shared" si="4"/>
        <v>11480400</v>
      </c>
      <c r="K80" s="198"/>
      <c r="L80" s="198"/>
    </row>
    <row r="81" spans="1:12" s="3" customFormat="1" ht="15.75" customHeight="1">
      <c r="A81" s="280" t="s">
        <v>56</v>
      </c>
      <c r="B81" s="281"/>
      <c r="C81" s="133">
        <v>6040339444</v>
      </c>
      <c r="D81" s="134">
        <v>5760747096.99</v>
      </c>
      <c r="E81" s="132">
        <f>H81-3606691141.18</f>
        <v>1069852727.0999999</v>
      </c>
      <c r="F81" s="17">
        <f>(E81/D81)*100</f>
        <v>18.571423273536862</v>
      </c>
      <c r="G81" s="114"/>
      <c r="H81" s="163">
        <v>4676543868.28</v>
      </c>
      <c r="I81" s="17">
        <f t="shared" si="1"/>
        <v>81.17946838394454</v>
      </c>
      <c r="J81" s="282">
        <f t="shared" si="4"/>
        <v>1084203228.71</v>
      </c>
      <c r="K81" s="283"/>
      <c r="L81" s="283"/>
    </row>
    <row r="82" spans="1:12" s="3" customFormat="1" ht="15.75" customHeight="1">
      <c r="A82" s="300" t="s">
        <v>28</v>
      </c>
      <c r="B82" s="301"/>
      <c r="C82" s="137">
        <f>C17+C81</f>
        <v>72603819280</v>
      </c>
      <c r="D82" s="138">
        <f>D17+D81</f>
        <v>68144314505.74</v>
      </c>
      <c r="E82" s="137">
        <f>E17+E81</f>
        <v>14430851795.1</v>
      </c>
      <c r="F82" s="26">
        <f t="shared" si="3"/>
        <v>21.17689773500392</v>
      </c>
      <c r="G82" s="115"/>
      <c r="H82" s="164">
        <f>H17+H81</f>
        <v>67149719376.329994</v>
      </c>
      <c r="I82" s="26">
        <f>(H82/D82)*100</f>
        <v>98.54045764988035</v>
      </c>
      <c r="J82" s="256">
        <f t="shared" si="4"/>
        <v>994595129.4100037</v>
      </c>
      <c r="K82" s="257"/>
      <c r="L82" s="257"/>
    </row>
    <row r="83" spans="1:12" s="3" customFormat="1" ht="15.75" customHeight="1">
      <c r="A83" s="285" t="s">
        <v>76</v>
      </c>
      <c r="B83" s="286"/>
      <c r="C83" s="139">
        <v>0</v>
      </c>
      <c r="D83" s="131">
        <v>0</v>
      </c>
      <c r="E83" s="132">
        <v>0</v>
      </c>
      <c r="F83" s="14">
        <v>0</v>
      </c>
      <c r="G83" s="116"/>
      <c r="H83" s="100">
        <v>0</v>
      </c>
      <c r="I83" s="14">
        <v>0</v>
      </c>
      <c r="J83" s="287">
        <v>0</v>
      </c>
      <c r="K83" s="255"/>
      <c r="L83" s="255"/>
    </row>
    <row r="84" spans="1:12" s="3" customFormat="1" ht="15.75" customHeight="1">
      <c r="A84" s="207" t="s">
        <v>132</v>
      </c>
      <c r="B84" s="277"/>
      <c r="C84" s="140">
        <v>0</v>
      </c>
      <c r="D84" s="135">
        <v>0</v>
      </c>
      <c r="E84" s="136">
        <v>0</v>
      </c>
      <c r="F84" s="22">
        <v>0</v>
      </c>
      <c r="G84" s="112"/>
      <c r="H84" s="101">
        <v>0</v>
      </c>
      <c r="I84" s="22">
        <v>0</v>
      </c>
      <c r="J84" s="195">
        <v>0</v>
      </c>
      <c r="K84" s="196"/>
      <c r="L84" s="196"/>
    </row>
    <row r="85" spans="1:12" s="3" customFormat="1" ht="15.75" customHeight="1">
      <c r="A85" s="207" t="s">
        <v>57</v>
      </c>
      <c r="B85" s="277"/>
      <c r="C85" s="140">
        <v>0</v>
      </c>
      <c r="D85" s="135">
        <v>0</v>
      </c>
      <c r="E85" s="136">
        <v>0</v>
      </c>
      <c r="F85" s="22">
        <v>0</v>
      </c>
      <c r="G85" s="112"/>
      <c r="H85" s="101">
        <v>0</v>
      </c>
      <c r="I85" s="22">
        <v>0</v>
      </c>
      <c r="J85" s="195">
        <v>0</v>
      </c>
      <c r="K85" s="196"/>
      <c r="L85" s="196"/>
    </row>
    <row r="86" spans="1:12" s="3" customFormat="1" ht="15.75" customHeight="1">
      <c r="A86" s="284" t="s">
        <v>58</v>
      </c>
      <c r="B86" s="277"/>
      <c r="C86" s="140">
        <v>0</v>
      </c>
      <c r="D86" s="135">
        <v>0</v>
      </c>
      <c r="E86" s="136">
        <v>0</v>
      </c>
      <c r="F86" s="22">
        <v>0</v>
      </c>
      <c r="G86" s="112"/>
      <c r="H86" s="101">
        <v>0</v>
      </c>
      <c r="I86" s="22">
        <v>0</v>
      </c>
      <c r="J86" s="195">
        <v>0</v>
      </c>
      <c r="K86" s="196"/>
      <c r="L86" s="196"/>
    </row>
    <row r="87" spans="1:12" s="3" customFormat="1" ht="15.75" customHeight="1">
      <c r="A87" s="207" t="s">
        <v>133</v>
      </c>
      <c r="B87" s="277"/>
      <c r="C87" s="140">
        <v>0</v>
      </c>
      <c r="D87" s="135">
        <v>0</v>
      </c>
      <c r="E87" s="136">
        <v>0</v>
      </c>
      <c r="F87" s="22">
        <v>0</v>
      </c>
      <c r="G87" s="112"/>
      <c r="H87" s="101">
        <v>0</v>
      </c>
      <c r="I87" s="22">
        <v>0</v>
      </c>
      <c r="J87" s="195">
        <v>0</v>
      </c>
      <c r="K87" s="196"/>
      <c r="L87" s="196"/>
    </row>
    <row r="88" spans="1:12" s="3" customFormat="1" ht="15.75" customHeight="1">
      <c r="A88" s="207" t="s">
        <v>57</v>
      </c>
      <c r="B88" s="277"/>
      <c r="C88" s="140">
        <v>0</v>
      </c>
      <c r="D88" s="135">
        <v>0</v>
      </c>
      <c r="E88" s="136">
        <v>0</v>
      </c>
      <c r="F88" s="22">
        <v>0</v>
      </c>
      <c r="G88" s="112"/>
      <c r="H88" s="101">
        <v>0</v>
      </c>
      <c r="I88" s="22">
        <v>0</v>
      </c>
      <c r="J88" s="195">
        <v>0</v>
      </c>
      <c r="K88" s="196"/>
      <c r="L88" s="196"/>
    </row>
    <row r="89" spans="1:12" s="3" customFormat="1" ht="15.75" customHeight="1">
      <c r="A89" s="278" t="s">
        <v>58</v>
      </c>
      <c r="B89" s="279"/>
      <c r="C89" s="141">
        <v>0</v>
      </c>
      <c r="D89" s="142">
        <v>0</v>
      </c>
      <c r="E89" s="136">
        <v>0</v>
      </c>
      <c r="F89" s="30">
        <v>0</v>
      </c>
      <c r="G89" s="117"/>
      <c r="H89" s="103">
        <v>0</v>
      </c>
      <c r="I89" s="30">
        <v>0</v>
      </c>
      <c r="J89" s="205">
        <v>0</v>
      </c>
      <c r="K89" s="206"/>
      <c r="L89" s="206"/>
    </row>
    <row r="90" spans="1:13" s="3" customFormat="1" ht="15.75" customHeight="1">
      <c r="A90" s="267" t="s">
        <v>29</v>
      </c>
      <c r="B90" s="276"/>
      <c r="C90" s="143">
        <f>C82+C83</f>
        <v>72603819280</v>
      </c>
      <c r="D90" s="138">
        <f>D82+D83</f>
        <v>68144314505.74</v>
      </c>
      <c r="E90" s="137">
        <f>E82+E83</f>
        <v>14430851795.1</v>
      </c>
      <c r="F90" s="31">
        <f>(E90/D90)*100</f>
        <v>21.17689773500392</v>
      </c>
      <c r="G90" s="115"/>
      <c r="H90" s="184">
        <f>H82+H83</f>
        <v>67149719376.329994</v>
      </c>
      <c r="I90" s="17">
        <f>(H90/D90)*100</f>
        <v>98.54045764988035</v>
      </c>
      <c r="J90" s="269">
        <f>D90-H90</f>
        <v>994595129.4100037</v>
      </c>
      <c r="K90" s="270">
        <f>K82+K83</f>
        <v>0</v>
      </c>
      <c r="L90" s="270">
        <f>L82+L83</f>
        <v>0</v>
      </c>
      <c r="M90" s="32"/>
    </row>
    <row r="91" spans="1:13" s="3" customFormat="1" ht="15.75" customHeight="1">
      <c r="A91" s="267" t="s">
        <v>30</v>
      </c>
      <c r="B91" s="268"/>
      <c r="C91" s="137">
        <f>B122-C90</f>
        <v>10725391369</v>
      </c>
      <c r="D91" s="144">
        <f>C122-D90</f>
        <v>21525724769.180016</v>
      </c>
      <c r="E91" s="137">
        <v>0</v>
      </c>
      <c r="F91" s="26">
        <v>0</v>
      </c>
      <c r="G91" s="115"/>
      <c r="H91" s="102">
        <v>0</v>
      </c>
      <c r="I91" s="14">
        <v>0</v>
      </c>
      <c r="J91" s="269">
        <f>J92-J90</f>
        <v>21525724769.180016</v>
      </c>
      <c r="K91" s="270"/>
      <c r="L91" s="270"/>
      <c r="M91" s="24"/>
    </row>
    <row r="92" spans="1:17" s="3" customFormat="1" ht="15.75" customHeight="1">
      <c r="A92" s="273" t="s">
        <v>31</v>
      </c>
      <c r="B92" s="274"/>
      <c r="C92" s="137">
        <f>C90+C91</f>
        <v>83329210649</v>
      </c>
      <c r="D92" s="138">
        <f>D90+D91</f>
        <v>89670039274.92001</v>
      </c>
      <c r="E92" s="137">
        <f>E90+E91</f>
        <v>14430851795.1</v>
      </c>
      <c r="F92" s="26">
        <f>(E92/D92)*100</f>
        <v>16.09328144806132</v>
      </c>
      <c r="G92" s="115"/>
      <c r="H92" s="184">
        <f>H90+H91</f>
        <v>67149719376.329994</v>
      </c>
      <c r="I92" s="26">
        <f>(H92/D92)*100</f>
        <v>74.88534623081316</v>
      </c>
      <c r="J92" s="269">
        <f>D92-H92</f>
        <v>22520319898.59002</v>
      </c>
      <c r="K92" s="270"/>
      <c r="L92" s="270"/>
      <c r="N92" s="307"/>
      <c r="O92" s="307"/>
      <c r="P92" s="307"/>
      <c r="Q92" s="307"/>
    </row>
    <row r="93" spans="1:17" s="3" customFormat="1" ht="15.75" customHeight="1">
      <c r="A93" s="275" t="s">
        <v>77</v>
      </c>
      <c r="B93" s="275"/>
      <c r="C93" s="26">
        <f>SUM(C94:C95)</f>
        <v>0</v>
      </c>
      <c r="D93" s="26">
        <f>SUM(D94:D95)</f>
        <v>2701217003.09</v>
      </c>
      <c r="E93" s="145">
        <f>SUM(E94:E95)</f>
        <v>0</v>
      </c>
      <c r="F93" s="33">
        <v>0</v>
      </c>
      <c r="G93" s="118"/>
      <c r="H93" s="184">
        <f>SUM(H94:H95)</f>
        <v>2701217003.09</v>
      </c>
      <c r="I93" s="33">
        <v>0</v>
      </c>
      <c r="J93" s="271">
        <f>SUM(J94+J95)</f>
        <v>0</v>
      </c>
      <c r="K93" s="272"/>
      <c r="L93" s="272"/>
      <c r="M93" s="34"/>
      <c r="N93" s="307"/>
      <c r="O93" s="307"/>
      <c r="P93" s="307"/>
      <c r="Q93" s="307"/>
    </row>
    <row r="94" spans="1:17" s="3" customFormat="1" ht="15.75" customHeight="1">
      <c r="A94" s="258" t="s">
        <v>92</v>
      </c>
      <c r="B94" s="258"/>
      <c r="C94" s="146">
        <v>0</v>
      </c>
      <c r="D94" s="147">
        <f>G94</f>
        <v>0</v>
      </c>
      <c r="E94" s="148">
        <v>0</v>
      </c>
      <c r="F94" s="35">
        <v>0</v>
      </c>
      <c r="G94" s="119"/>
      <c r="H94" s="185">
        <v>0</v>
      </c>
      <c r="I94" s="36">
        <v>0</v>
      </c>
      <c r="J94" s="259">
        <v>0</v>
      </c>
      <c r="K94" s="260"/>
      <c r="L94" s="260"/>
      <c r="M94" s="34"/>
      <c r="N94" s="307"/>
      <c r="O94" s="307"/>
      <c r="P94" s="307"/>
      <c r="Q94" s="307"/>
    </row>
    <row r="95" spans="1:17" s="3" customFormat="1" ht="15.75" customHeight="1">
      <c r="A95" s="258" t="s">
        <v>134</v>
      </c>
      <c r="B95" s="258"/>
      <c r="C95" s="146">
        <v>0</v>
      </c>
      <c r="D95" s="147">
        <f>H95</f>
        <v>2701217003.09</v>
      </c>
      <c r="E95" s="148">
        <v>0</v>
      </c>
      <c r="F95" s="35">
        <v>0</v>
      </c>
      <c r="G95" s="119"/>
      <c r="H95" s="185">
        <v>2701217003.09</v>
      </c>
      <c r="I95" s="36">
        <v>0</v>
      </c>
      <c r="J95" s="259">
        <v>0</v>
      </c>
      <c r="K95" s="260"/>
      <c r="L95" s="260"/>
      <c r="M95" s="34"/>
      <c r="N95" s="307"/>
      <c r="O95" s="307"/>
      <c r="P95" s="307"/>
      <c r="Q95" s="307"/>
    </row>
    <row r="96" spans="1:17" ht="15.75">
      <c r="A96" s="37"/>
      <c r="B96" s="38"/>
      <c r="C96" s="38"/>
      <c r="D96" s="39"/>
      <c r="E96" s="39"/>
      <c r="F96" s="38"/>
      <c r="G96" s="40"/>
      <c r="H96" s="41"/>
      <c r="I96" s="41"/>
      <c r="J96" s="41"/>
      <c r="K96" s="41"/>
      <c r="L96" s="42"/>
      <c r="M96" s="34"/>
      <c r="N96" s="307"/>
      <c r="O96" s="307"/>
      <c r="P96" s="307"/>
      <c r="Q96" s="307"/>
    </row>
    <row r="97" spans="1:12" s="3" customFormat="1" ht="17.25" customHeight="1">
      <c r="A97" s="211" t="s">
        <v>18</v>
      </c>
      <c r="B97" s="85" t="s">
        <v>15</v>
      </c>
      <c r="C97" s="85" t="s">
        <v>15</v>
      </c>
      <c r="D97" s="214" t="s">
        <v>16</v>
      </c>
      <c r="E97" s="215"/>
      <c r="F97" s="201" t="s">
        <v>73</v>
      </c>
      <c r="G97" s="214" t="s">
        <v>17</v>
      </c>
      <c r="H97" s="215"/>
      <c r="I97" s="201" t="s">
        <v>73</v>
      </c>
      <c r="J97" s="298" t="s">
        <v>78</v>
      </c>
      <c r="K97" s="261" t="s">
        <v>142</v>
      </c>
      <c r="L97" s="262"/>
    </row>
    <row r="98" spans="1:12" s="3" customFormat="1" ht="14.25" customHeight="1">
      <c r="A98" s="212"/>
      <c r="B98" s="86" t="s">
        <v>5</v>
      </c>
      <c r="C98" s="86" t="s">
        <v>6</v>
      </c>
      <c r="D98" s="87" t="s">
        <v>79</v>
      </c>
      <c r="E98" s="87" t="s">
        <v>80</v>
      </c>
      <c r="F98" s="202"/>
      <c r="G98" s="87" t="s">
        <v>79</v>
      </c>
      <c r="H98" s="96" t="s">
        <v>80</v>
      </c>
      <c r="I98" s="202"/>
      <c r="J98" s="299"/>
      <c r="K98" s="263"/>
      <c r="L98" s="264"/>
    </row>
    <row r="99" spans="1:12" s="3" customFormat="1" ht="14.25" customHeight="1">
      <c r="A99" s="212"/>
      <c r="B99" s="86"/>
      <c r="C99" s="86"/>
      <c r="D99" s="88" t="s">
        <v>81</v>
      </c>
      <c r="E99" s="88" t="s">
        <v>81</v>
      </c>
      <c r="F99" s="202"/>
      <c r="G99" s="88" t="s">
        <v>81</v>
      </c>
      <c r="H99" s="97" t="s">
        <v>81</v>
      </c>
      <c r="I99" s="202"/>
      <c r="J99" s="299"/>
      <c r="K99" s="263"/>
      <c r="L99" s="264"/>
    </row>
    <row r="100" spans="1:12" s="3" customFormat="1" ht="42" customHeight="1">
      <c r="A100" s="213"/>
      <c r="B100" s="89" t="s">
        <v>19</v>
      </c>
      <c r="C100" s="89" t="s">
        <v>20</v>
      </c>
      <c r="D100" s="89"/>
      <c r="E100" s="89" t="s">
        <v>82</v>
      </c>
      <c r="F100" s="90" t="s">
        <v>83</v>
      </c>
      <c r="G100" s="89"/>
      <c r="H100" s="98" t="s">
        <v>21</v>
      </c>
      <c r="I100" s="89" t="s">
        <v>84</v>
      </c>
      <c r="J100" s="89" t="s">
        <v>22</v>
      </c>
      <c r="K100" s="265"/>
      <c r="L100" s="266"/>
    </row>
    <row r="101" spans="1:13" s="3" customFormat="1" ht="15.75" customHeight="1">
      <c r="A101" s="153" t="s">
        <v>85</v>
      </c>
      <c r="B101" s="134">
        <f>B102+B108+B112</f>
        <v>77282708305</v>
      </c>
      <c r="C101" s="134">
        <f>C102+C108+C112</f>
        <v>83663631995.68001</v>
      </c>
      <c r="D101" s="134">
        <f>D102+D108+D112</f>
        <v>11966595353.82</v>
      </c>
      <c r="E101" s="134">
        <f>E102+E108+E112</f>
        <v>59883017409.189995</v>
      </c>
      <c r="F101" s="134">
        <f>C101-E101</f>
        <v>23780614586.490013</v>
      </c>
      <c r="G101" s="170">
        <f>G102+G108+G112</f>
        <v>13891636829.97</v>
      </c>
      <c r="H101" s="175">
        <f>H102+H108+H112</f>
        <v>59327634128.33</v>
      </c>
      <c r="I101" s="179">
        <f>C101-H101</f>
        <v>24335997867.350006</v>
      </c>
      <c r="J101" s="131">
        <f>J102+J108+J112</f>
        <v>56574681203.26</v>
      </c>
      <c r="K101" s="230">
        <f>K102+K108+K112</f>
        <v>555383280.8600004</v>
      </c>
      <c r="L101" s="231" t="e">
        <f>L102+L108+L112+#REF!</f>
        <v>#REF!</v>
      </c>
      <c r="M101" s="15"/>
    </row>
    <row r="102" spans="1:13" s="3" customFormat="1" ht="15.75" customHeight="1">
      <c r="A102" s="154" t="s">
        <v>59</v>
      </c>
      <c r="B102" s="134">
        <f>SUM(B103:B105)</f>
        <v>67216744569</v>
      </c>
      <c r="C102" s="134">
        <f>SUM(C103:C105)</f>
        <v>73190090886.66</v>
      </c>
      <c r="D102" s="134">
        <f>SUM(D103:D105)</f>
        <v>11660303725.91</v>
      </c>
      <c r="E102" s="134">
        <f>SUM(E103:E105)</f>
        <v>58385421597.009995</v>
      </c>
      <c r="F102" s="134">
        <f>C102-E102</f>
        <v>14804669289.65001</v>
      </c>
      <c r="G102" s="170">
        <f>SUM(G103:G105)</f>
        <v>13375923689.119999</v>
      </c>
      <c r="H102" s="176">
        <f>SUM(H103:H105)</f>
        <v>57936483904.5</v>
      </c>
      <c r="I102" s="166">
        <f aca="true" t="shared" si="5" ref="I102:I114">C102-H102</f>
        <v>15253606982.160004</v>
      </c>
      <c r="J102" s="134">
        <f>SUM(J103:J105)</f>
        <v>55289521529.3</v>
      </c>
      <c r="K102" s="230">
        <f>SUM(K103:K105)</f>
        <v>448937692.5100002</v>
      </c>
      <c r="L102" s="231">
        <f>SUM(L103:L105)</f>
        <v>0</v>
      </c>
      <c r="M102" s="24"/>
    </row>
    <row r="103" spans="1:13" s="1" customFormat="1" ht="15.75" customHeight="1">
      <c r="A103" s="155" t="s">
        <v>60</v>
      </c>
      <c r="B103" s="135">
        <v>43734259278</v>
      </c>
      <c r="C103" s="135">
        <v>49052722871.66</v>
      </c>
      <c r="D103" s="135">
        <f>E103-32642445453.71</f>
        <v>8347664713.110001</v>
      </c>
      <c r="E103" s="135">
        <v>40990110166.82</v>
      </c>
      <c r="F103" s="135">
        <f>C103-E103</f>
        <v>8062612704.840004</v>
      </c>
      <c r="G103" s="168">
        <f>H103-32174543583.91</f>
        <v>8811380548.59</v>
      </c>
      <c r="H103" s="177">
        <v>40985924132.5</v>
      </c>
      <c r="I103" s="165">
        <f t="shared" si="5"/>
        <v>8066798739.160004</v>
      </c>
      <c r="J103" s="135">
        <v>38883685580.66</v>
      </c>
      <c r="K103" s="203">
        <f>E103-H103</f>
        <v>4186034.319999695</v>
      </c>
      <c r="L103" s="204"/>
      <c r="M103" s="44"/>
    </row>
    <row r="104" spans="1:13" s="3" customFormat="1" ht="15.75" customHeight="1">
      <c r="A104" s="155" t="s">
        <v>61</v>
      </c>
      <c r="B104" s="135">
        <v>2125071984</v>
      </c>
      <c r="C104" s="135">
        <v>2160897608.03</v>
      </c>
      <c r="D104" s="135">
        <f>E104-258683616.02</f>
        <v>126667336.25999996</v>
      </c>
      <c r="E104" s="135">
        <v>385350952.28</v>
      </c>
      <c r="F104" s="135">
        <f aca="true" t="shared" si="6" ref="F104:F112">C104-E104</f>
        <v>1775546655.7500002</v>
      </c>
      <c r="G104" s="168">
        <f>H104-258300558.38</f>
        <v>127050393.89999998</v>
      </c>
      <c r="H104" s="177">
        <v>385350952.28</v>
      </c>
      <c r="I104" s="165">
        <f t="shared" si="5"/>
        <v>1775546655.7500002</v>
      </c>
      <c r="J104" s="135">
        <v>385073906.64</v>
      </c>
      <c r="K104" s="203">
        <f>E104-H104</f>
        <v>0</v>
      </c>
      <c r="L104" s="204"/>
      <c r="M104" s="45"/>
    </row>
    <row r="105" spans="1:13" s="3" customFormat="1" ht="15.75" customHeight="1">
      <c r="A105" s="155" t="s">
        <v>62</v>
      </c>
      <c r="B105" s="135">
        <f>B106+B107</f>
        <v>21357413307</v>
      </c>
      <c r="C105" s="135">
        <v>21976470406.97</v>
      </c>
      <c r="D105" s="135">
        <f>D106+D107</f>
        <v>3185971676.539999</v>
      </c>
      <c r="E105" s="135">
        <v>17009960477.91</v>
      </c>
      <c r="F105" s="135">
        <f t="shared" si="6"/>
        <v>4966509929.060001</v>
      </c>
      <c r="G105" s="168">
        <f>G106+G107</f>
        <v>4437492746.629999</v>
      </c>
      <c r="H105" s="177">
        <v>16565208819.72</v>
      </c>
      <c r="I105" s="165">
        <f t="shared" si="5"/>
        <v>5411261587.250002</v>
      </c>
      <c r="J105" s="135">
        <v>16020762042</v>
      </c>
      <c r="K105" s="203">
        <f>E105-H105</f>
        <v>444751658.19000053</v>
      </c>
      <c r="L105" s="204"/>
      <c r="M105" s="46"/>
    </row>
    <row r="106" spans="1:12" s="3" customFormat="1" ht="15.75" customHeight="1">
      <c r="A106" s="156" t="s">
        <v>88</v>
      </c>
      <c r="B106" s="135">
        <v>0</v>
      </c>
      <c r="C106" s="135">
        <v>0</v>
      </c>
      <c r="D106" s="135">
        <f>E106-0</f>
        <v>0</v>
      </c>
      <c r="E106" s="135">
        <v>0</v>
      </c>
      <c r="F106" s="135">
        <f t="shared" si="6"/>
        <v>0</v>
      </c>
      <c r="G106" s="168">
        <f>H106-0</f>
        <v>0</v>
      </c>
      <c r="H106" s="177">
        <v>0</v>
      </c>
      <c r="I106" s="165">
        <f t="shared" si="5"/>
        <v>0</v>
      </c>
      <c r="J106" s="135">
        <v>0</v>
      </c>
      <c r="K106" s="203">
        <f>E106-H106</f>
        <v>0</v>
      </c>
      <c r="L106" s="204"/>
    </row>
    <row r="107" spans="1:12" s="3" customFormat="1" ht="15.75" customHeight="1">
      <c r="A107" s="156" t="s">
        <v>89</v>
      </c>
      <c r="B107" s="135">
        <v>21357413307</v>
      </c>
      <c r="C107" s="135">
        <f>C105-C106</f>
        <v>21976470406.97</v>
      </c>
      <c r="D107" s="135">
        <f>E107-13823988801.37</f>
        <v>3185971676.539999</v>
      </c>
      <c r="E107" s="135">
        <f>E105-E106</f>
        <v>17009960477.91</v>
      </c>
      <c r="F107" s="135">
        <f t="shared" si="6"/>
        <v>4966509929.060001</v>
      </c>
      <c r="G107" s="168">
        <f>H107-12127716073.09</f>
        <v>4437492746.629999</v>
      </c>
      <c r="H107" s="177">
        <f>H105-H106</f>
        <v>16565208819.72</v>
      </c>
      <c r="I107" s="165">
        <f t="shared" si="5"/>
        <v>5411261587.250002</v>
      </c>
      <c r="J107" s="135">
        <f>J105-J106</f>
        <v>16020762042</v>
      </c>
      <c r="K107" s="203">
        <f>K105-K106</f>
        <v>444751658.19000053</v>
      </c>
      <c r="L107" s="204"/>
    </row>
    <row r="108" spans="1:12" s="1" customFormat="1" ht="15.75">
      <c r="A108" s="154" t="s">
        <v>63</v>
      </c>
      <c r="B108" s="134">
        <f>SUM(B109:B111)</f>
        <v>9583016792</v>
      </c>
      <c r="C108" s="134">
        <f>SUM(C109:C111)</f>
        <v>9992264165.02</v>
      </c>
      <c r="D108" s="134">
        <f>SUM(D109:D111)</f>
        <v>306291627.9100001</v>
      </c>
      <c r="E108" s="134">
        <f>SUM(E109:E111)</f>
        <v>1497595812.18</v>
      </c>
      <c r="F108" s="134">
        <f t="shared" si="6"/>
        <v>8494668352.84</v>
      </c>
      <c r="G108" s="170">
        <f>SUM(G109:G111)</f>
        <v>515713140.85</v>
      </c>
      <c r="H108" s="176">
        <f>SUM(H109:H111)</f>
        <v>1391150223.83</v>
      </c>
      <c r="I108" s="166">
        <f t="shared" si="5"/>
        <v>8601113941.19</v>
      </c>
      <c r="J108" s="134">
        <f>SUM(J109:J111)</f>
        <v>1285159673.96</v>
      </c>
      <c r="K108" s="216">
        <f>SUM(K109:K111)</f>
        <v>106445588.35000008</v>
      </c>
      <c r="L108" s="217"/>
    </row>
    <row r="109" spans="1:12" s="3" customFormat="1" ht="15.75" customHeight="1">
      <c r="A109" s="155" t="s">
        <v>64</v>
      </c>
      <c r="B109" s="135">
        <v>5034900944</v>
      </c>
      <c r="C109" s="135">
        <v>5695390304.29</v>
      </c>
      <c r="D109" s="135">
        <f>E109-803582144.62</f>
        <v>160644493.82000005</v>
      </c>
      <c r="E109" s="135">
        <v>964226638.44</v>
      </c>
      <c r="F109" s="135">
        <f t="shared" si="6"/>
        <v>4731163665.85</v>
      </c>
      <c r="G109" s="168">
        <f>H109-494540605.45</f>
        <v>363301514.19</v>
      </c>
      <c r="H109" s="177">
        <v>857842119.64</v>
      </c>
      <c r="I109" s="165">
        <f t="shared" si="5"/>
        <v>4837548184.65</v>
      </c>
      <c r="J109" s="135">
        <v>811384071</v>
      </c>
      <c r="K109" s="203">
        <f>E109-H109</f>
        <v>106384518.80000007</v>
      </c>
      <c r="L109" s="204"/>
    </row>
    <row r="110" spans="1:12" s="3" customFormat="1" ht="15.75" customHeight="1">
      <c r="A110" s="155" t="s">
        <v>65</v>
      </c>
      <c r="B110" s="135">
        <v>100541449</v>
      </c>
      <c r="C110" s="135">
        <v>164852676.42</v>
      </c>
      <c r="D110" s="135">
        <f>E110-15822000</f>
        <v>80352533.7</v>
      </c>
      <c r="E110" s="135">
        <v>96174533.7</v>
      </c>
      <c r="F110" s="135">
        <f t="shared" si="6"/>
        <v>68678142.71999998</v>
      </c>
      <c r="G110" s="168">
        <f>H110-9100000</f>
        <v>87074533.7</v>
      </c>
      <c r="H110" s="177">
        <v>96174533.7</v>
      </c>
      <c r="I110" s="165">
        <f t="shared" si="5"/>
        <v>68678142.71999998</v>
      </c>
      <c r="J110" s="135">
        <v>36798434.76</v>
      </c>
      <c r="K110" s="203">
        <f>E110-H110</f>
        <v>0</v>
      </c>
      <c r="L110" s="204"/>
    </row>
    <row r="111" spans="1:12" s="3" customFormat="1" ht="15.75" customHeight="1">
      <c r="A111" s="155" t="s">
        <v>66</v>
      </c>
      <c r="B111" s="135">
        <v>4447574399</v>
      </c>
      <c r="C111" s="135">
        <v>4132021184.31</v>
      </c>
      <c r="D111" s="135">
        <f>E111-371900039.65</f>
        <v>65294600.390000045</v>
      </c>
      <c r="E111" s="135">
        <v>437194640.04</v>
      </c>
      <c r="F111" s="135">
        <f t="shared" si="6"/>
        <v>3694826544.27</v>
      </c>
      <c r="G111" s="168">
        <f>H111-371796477.53</f>
        <v>65337092.96000004</v>
      </c>
      <c r="H111" s="177">
        <v>437133570.49</v>
      </c>
      <c r="I111" s="165">
        <f t="shared" si="5"/>
        <v>3694887613.8199997</v>
      </c>
      <c r="J111" s="135">
        <v>436977168.2</v>
      </c>
      <c r="K111" s="203">
        <f>E111-H111</f>
        <v>61069.55000001192</v>
      </c>
      <c r="L111" s="204"/>
    </row>
    <row r="112" spans="1:12" s="3" customFormat="1" ht="15.75" customHeight="1">
      <c r="A112" s="154" t="s">
        <v>67</v>
      </c>
      <c r="B112" s="149">
        <v>482946944</v>
      </c>
      <c r="C112" s="149">
        <v>481276944</v>
      </c>
      <c r="D112" s="149">
        <f>E112-0</f>
        <v>0</v>
      </c>
      <c r="E112" s="149">
        <v>0</v>
      </c>
      <c r="F112" s="170">
        <f t="shared" si="6"/>
        <v>481276944</v>
      </c>
      <c r="G112" s="170">
        <f>H112-0</f>
        <v>0</v>
      </c>
      <c r="H112" s="176">
        <v>0</v>
      </c>
      <c r="I112" s="166">
        <f t="shared" si="5"/>
        <v>481276944</v>
      </c>
      <c r="J112" s="134">
        <v>0</v>
      </c>
      <c r="K112" s="216">
        <f>E112-H112</f>
        <v>0</v>
      </c>
      <c r="L112" s="217"/>
    </row>
    <row r="113" spans="1:12" s="3" customFormat="1" ht="15.75" customHeight="1">
      <c r="A113" s="154" t="s">
        <v>68</v>
      </c>
      <c r="B113" s="149">
        <v>6040339444</v>
      </c>
      <c r="C113" s="149">
        <v>5992789520.6</v>
      </c>
      <c r="D113" s="149">
        <f>E113-3802466711.67</f>
        <v>826472854.1300001</v>
      </c>
      <c r="E113" s="149">
        <v>4628939565.8</v>
      </c>
      <c r="F113" s="170">
        <f>C113-E113</f>
        <v>1363849954.8000002</v>
      </c>
      <c r="G113" s="170">
        <f>H113-3629535645.85</f>
        <v>980628682.8200002</v>
      </c>
      <c r="H113" s="178">
        <v>4610164328.67</v>
      </c>
      <c r="I113" s="163">
        <f t="shared" si="5"/>
        <v>1382625191.9300003</v>
      </c>
      <c r="J113" s="134">
        <v>4313769751.52</v>
      </c>
      <c r="K113" s="216">
        <f>E113-H113</f>
        <v>18775237.130000114</v>
      </c>
      <c r="L113" s="217"/>
    </row>
    <row r="114" spans="1:17" s="3" customFormat="1" ht="15.75" customHeight="1">
      <c r="A114" s="157" t="s">
        <v>32</v>
      </c>
      <c r="B114" s="150">
        <f>B101+B113</f>
        <v>83323047749</v>
      </c>
      <c r="C114" s="150">
        <f>C101+C113</f>
        <v>89656421516.28001</v>
      </c>
      <c r="D114" s="150">
        <f>D101+D113</f>
        <v>12793068207.95</v>
      </c>
      <c r="E114" s="150">
        <f>E101+E113</f>
        <v>64511956974.99</v>
      </c>
      <c r="F114" s="169">
        <f>C114-E114</f>
        <v>25144464541.290016</v>
      </c>
      <c r="G114" s="169">
        <f>G101+G113</f>
        <v>14872265512.789999</v>
      </c>
      <c r="H114" s="138">
        <f>H101+H113</f>
        <v>63937798457</v>
      </c>
      <c r="I114" s="164">
        <f t="shared" si="5"/>
        <v>25718623059.280014</v>
      </c>
      <c r="J114" s="131">
        <f>J101+J113</f>
        <v>60888450954.78</v>
      </c>
      <c r="K114" s="256">
        <f>K101+K113</f>
        <v>574158517.9900005</v>
      </c>
      <c r="L114" s="257" t="e">
        <f>L101+#REF!</f>
        <v>#REF!</v>
      </c>
      <c r="M114" s="47"/>
      <c r="N114" s="120"/>
      <c r="O114" s="47"/>
      <c r="P114" s="47"/>
      <c r="Q114" s="47"/>
    </row>
    <row r="115" spans="1:17" s="3" customFormat="1" ht="15.75" customHeight="1">
      <c r="A115" s="158" t="s">
        <v>86</v>
      </c>
      <c r="B115" s="171">
        <f>B116+B119</f>
        <v>6162900</v>
      </c>
      <c r="C115" s="171">
        <f>C116+C119</f>
        <v>13617758.64</v>
      </c>
      <c r="D115" s="151">
        <f>D116+D119</f>
        <v>6935798.86</v>
      </c>
      <c r="E115" s="171">
        <f>E116+E119</f>
        <v>13617758.64</v>
      </c>
      <c r="F115" s="48">
        <f aca="true" t="shared" si="7" ref="F115:F120">C115-E115</f>
        <v>0</v>
      </c>
      <c r="G115" s="171">
        <f>G116+G119</f>
        <v>6935798.86</v>
      </c>
      <c r="H115" s="131">
        <f>H116+H119</f>
        <v>13617758.64</v>
      </c>
      <c r="I115" s="99">
        <f>I116+I119</f>
        <v>0</v>
      </c>
      <c r="J115" s="131">
        <f>J116+J119</f>
        <v>13617758.64</v>
      </c>
      <c r="K115" s="255">
        <f>K116+K119</f>
        <v>0</v>
      </c>
      <c r="L115" s="255"/>
      <c r="M115" s="47"/>
      <c r="N115" s="47"/>
      <c r="O115" s="47"/>
      <c r="P115" s="47"/>
      <c r="Q115" s="47"/>
    </row>
    <row r="116" spans="1:17" s="3" customFormat="1" ht="15.75" customHeight="1">
      <c r="A116" s="156" t="s">
        <v>23</v>
      </c>
      <c r="B116" s="168">
        <f>B117+B118</f>
        <v>6162900</v>
      </c>
      <c r="C116" s="168">
        <f>C117+C118</f>
        <v>13617758.64</v>
      </c>
      <c r="D116" s="135">
        <f>D117+D118</f>
        <v>6935798.86</v>
      </c>
      <c r="E116" s="135">
        <f>E117+E118</f>
        <v>13617758.64</v>
      </c>
      <c r="F116" s="20">
        <f t="shared" si="7"/>
        <v>0</v>
      </c>
      <c r="G116" s="168">
        <f>G117+G118</f>
        <v>6935798.86</v>
      </c>
      <c r="H116" s="177">
        <f>H117+H118</f>
        <v>13617758.64</v>
      </c>
      <c r="I116" s="101">
        <f>I117+I118</f>
        <v>0</v>
      </c>
      <c r="J116" s="135">
        <f>J117+J118</f>
        <v>13617758.64</v>
      </c>
      <c r="K116" s="196">
        <f>K117+K118</f>
        <v>0</v>
      </c>
      <c r="L116" s="196"/>
      <c r="M116" s="47"/>
      <c r="N116" s="47"/>
      <c r="O116" s="47"/>
      <c r="P116" s="47"/>
      <c r="Q116" s="47"/>
    </row>
    <row r="117" spans="1:12" s="3" customFormat="1" ht="15.75" customHeight="1">
      <c r="A117" s="156" t="s">
        <v>24</v>
      </c>
      <c r="B117" s="43">
        <v>0</v>
      </c>
      <c r="C117" s="43">
        <v>0</v>
      </c>
      <c r="D117" s="135">
        <f>E117-0</f>
        <v>0</v>
      </c>
      <c r="E117" s="43">
        <v>0</v>
      </c>
      <c r="F117" s="20">
        <f t="shared" si="7"/>
        <v>0</v>
      </c>
      <c r="G117" s="43">
        <f>H117-0</f>
        <v>0</v>
      </c>
      <c r="H117" s="104">
        <v>0</v>
      </c>
      <c r="I117" s="101">
        <f>C117-H117</f>
        <v>0</v>
      </c>
      <c r="J117" s="20">
        <v>0</v>
      </c>
      <c r="K117" s="196">
        <v>0</v>
      </c>
      <c r="L117" s="196"/>
    </row>
    <row r="118" spans="1:12" s="3" customFormat="1" ht="15.75" customHeight="1">
      <c r="A118" s="156" t="s">
        <v>25</v>
      </c>
      <c r="B118" s="168">
        <v>6162900</v>
      </c>
      <c r="C118" s="168">
        <v>13617758.64</v>
      </c>
      <c r="D118" s="135">
        <f>E118-6681959.78</f>
        <v>6935798.86</v>
      </c>
      <c r="E118" s="135">
        <v>13617758.64</v>
      </c>
      <c r="F118" s="20">
        <f t="shared" si="7"/>
        <v>0</v>
      </c>
      <c r="G118" s="180">
        <f>H118-6681959.78</f>
        <v>6935798.86</v>
      </c>
      <c r="H118" s="177">
        <v>13617758.64</v>
      </c>
      <c r="I118" s="101">
        <f>C118-H118</f>
        <v>0</v>
      </c>
      <c r="J118" s="135">
        <v>13617758.64</v>
      </c>
      <c r="K118" s="196">
        <f>E118-H118</f>
        <v>0</v>
      </c>
      <c r="L118" s="196"/>
    </row>
    <row r="119" spans="1:12" s="3" customFormat="1" ht="15.75" customHeight="1">
      <c r="A119" s="156" t="s">
        <v>26</v>
      </c>
      <c r="B119" s="43">
        <f>B120+B121</f>
        <v>0</v>
      </c>
      <c r="C119" s="43">
        <f>C120+C121</f>
        <v>0</v>
      </c>
      <c r="D119" s="135">
        <f>D120+D121</f>
        <v>0</v>
      </c>
      <c r="E119" s="43">
        <f>E120+E121</f>
        <v>0</v>
      </c>
      <c r="F119" s="20">
        <f t="shared" si="7"/>
        <v>0</v>
      </c>
      <c r="G119" s="43">
        <f>G120+G121</f>
        <v>0</v>
      </c>
      <c r="H119" s="20">
        <f>H120+H121</f>
        <v>0</v>
      </c>
      <c r="I119" s="95">
        <f>I120+I121</f>
        <v>0</v>
      </c>
      <c r="J119" s="20">
        <f>J120+J121</f>
        <v>0</v>
      </c>
      <c r="K119" s="196">
        <f>K120+K121</f>
        <v>0</v>
      </c>
      <c r="L119" s="196"/>
    </row>
    <row r="120" spans="1:12" s="3" customFormat="1" ht="15.75" customHeight="1">
      <c r="A120" s="156" t="s">
        <v>24</v>
      </c>
      <c r="B120" s="43">
        <v>0</v>
      </c>
      <c r="C120" s="43">
        <v>0</v>
      </c>
      <c r="D120" s="135">
        <f>E120-0</f>
        <v>0</v>
      </c>
      <c r="E120" s="43">
        <v>0</v>
      </c>
      <c r="F120" s="20">
        <f t="shared" si="7"/>
        <v>0</v>
      </c>
      <c r="G120" s="43">
        <f>H120-0</f>
        <v>0</v>
      </c>
      <c r="H120" s="104">
        <v>0</v>
      </c>
      <c r="I120" s="101">
        <f>C120-H120</f>
        <v>0</v>
      </c>
      <c r="J120" s="20">
        <v>0</v>
      </c>
      <c r="K120" s="196">
        <v>0</v>
      </c>
      <c r="L120" s="196"/>
    </row>
    <row r="121" spans="1:12" s="3" customFormat="1" ht="15.75" customHeight="1">
      <c r="A121" s="156" t="s">
        <v>25</v>
      </c>
      <c r="B121" s="49">
        <v>0</v>
      </c>
      <c r="C121" s="49">
        <v>0</v>
      </c>
      <c r="D121" s="142">
        <f>E121-0</f>
        <v>0</v>
      </c>
      <c r="E121" s="29">
        <v>0</v>
      </c>
      <c r="F121" s="29">
        <v>0</v>
      </c>
      <c r="G121" s="50">
        <f>H121-0</f>
        <v>0</v>
      </c>
      <c r="H121" s="105">
        <v>0</v>
      </c>
      <c r="I121" s="103">
        <f>C121-H121</f>
        <v>0</v>
      </c>
      <c r="J121" s="29">
        <v>0</v>
      </c>
      <c r="K121" s="206">
        <v>0</v>
      </c>
      <c r="L121" s="206"/>
    </row>
    <row r="122" spans="1:14" s="3" customFormat="1" ht="15.75" customHeight="1">
      <c r="A122" s="157" t="s">
        <v>69</v>
      </c>
      <c r="B122" s="186">
        <f aca="true" t="shared" si="8" ref="B122:L122">B114+B115</f>
        <v>83329210649</v>
      </c>
      <c r="C122" s="187">
        <f>C114+C115</f>
        <v>89670039274.92001</v>
      </c>
      <c r="D122" s="187">
        <f t="shared" si="8"/>
        <v>12800004006.810001</v>
      </c>
      <c r="E122" s="187">
        <f t="shared" si="8"/>
        <v>64525574733.63</v>
      </c>
      <c r="F122" s="187">
        <f>F114+F115</f>
        <v>25144464541.290016</v>
      </c>
      <c r="G122" s="187">
        <f t="shared" si="8"/>
        <v>14879201311.65</v>
      </c>
      <c r="H122" s="186">
        <f t="shared" si="8"/>
        <v>63951416215.64</v>
      </c>
      <c r="I122" s="188">
        <f>C122-H122</f>
        <v>25718623059.280014</v>
      </c>
      <c r="J122" s="189">
        <f>J114+J115</f>
        <v>60902068713.42</v>
      </c>
      <c r="K122" s="302">
        <f>K114+K115</f>
        <v>574158517.9900005</v>
      </c>
      <c r="L122" s="303" t="e">
        <f t="shared" si="8"/>
        <v>#REF!</v>
      </c>
      <c r="M122" s="51"/>
      <c r="N122" s="46"/>
    </row>
    <row r="123" spans="1:13" s="3" customFormat="1" ht="15.75" customHeight="1">
      <c r="A123" s="157" t="s">
        <v>70</v>
      </c>
      <c r="B123" s="186">
        <v>0</v>
      </c>
      <c r="C123" s="190">
        <v>0</v>
      </c>
      <c r="D123" s="190">
        <f>E90-D122</f>
        <v>1630847788.289999</v>
      </c>
      <c r="E123" s="190">
        <f>H90-E122</f>
        <v>2624144642.699997</v>
      </c>
      <c r="F123" s="190">
        <f>J92-F122</f>
        <v>-2624144642.699997</v>
      </c>
      <c r="G123" s="190">
        <v>0</v>
      </c>
      <c r="H123" s="191">
        <v>0</v>
      </c>
      <c r="I123" s="184">
        <v>0</v>
      </c>
      <c r="J123" s="192">
        <v>0</v>
      </c>
      <c r="K123" s="304" t="s">
        <v>145</v>
      </c>
      <c r="L123" s="305"/>
      <c r="M123" s="24"/>
    </row>
    <row r="124" spans="1:14" s="3" customFormat="1" ht="15.75" customHeight="1">
      <c r="A124" s="159" t="s">
        <v>33</v>
      </c>
      <c r="B124" s="193">
        <f aca="true" t="shared" si="9" ref="B124:J124">B122+B123</f>
        <v>83329210649</v>
      </c>
      <c r="C124" s="187">
        <f t="shared" si="9"/>
        <v>89670039274.92001</v>
      </c>
      <c r="D124" s="187">
        <f t="shared" si="9"/>
        <v>14430851795.1</v>
      </c>
      <c r="E124" s="187">
        <f t="shared" si="9"/>
        <v>67149719376.329994</v>
      </c>
      <c r="F124" s="190">
        <f t="shared" si="9"/>
        <v>22520319898.59002</v>
      </c>
      <c r="G124" s="190">
        <f t="shared" si="9"/>
        <v>14879201311.65</v>
      </c>
      <c r="H124" s="191">
        <f t="shared" si="9"/>
        <v>63951416215.64</v>
      </c>
      <c r="I124" s="184">
        <f t="shared" si="9"/>
        <v>25718623059.280014</v>
      </c>
      <c r="J124" s="188">
        <f t="shared" si="9"/>
        <v>60902068713.42</v>
      </c>
      <c r="K124" s="253">
        <f>K122</f>
        <v>574158517.9900005</v>
      </c>
      <c r="L124" s="254"/>
      <c r="N124" s="24"/>
    </row>
    <row r="125" spans="1:12" s="3" customFormat="1" ht="15.75" customHeight="1">
      <c r="A125" s="159" t="s">
        <v>90</v>
      </c>
      <c r="B125" s="193">
        <v>0</v>
      </c>
      <c r="C125" s="187">
        <v>0</v>
      </c>
      <c r="D125" s="187">
        <v>0</v>
      </c>
      <c r="E125" s="187">
        <v>0</v>
      </c>
      <c r="F125" s="190">
        <v>0</v>
      </c>
      <c r="G125" s="190">
        <v>0</v>
      </c>
      <c r="H125" s="191">
        <v>0</v>
      </c>
      <c r="I125" s="184"/>
      <c r="J125" s="188">
        <v>0</v>
      </c>
      <c r="K125" s="304" t="s">
        <v>145</v>
      </c>
      <c r="L125" s="305"/>
    </row>
    <row r="126" spans="1:12" ht="15.75">
      <c r="A126" s="52"/>
      <c r="B126" s="53"/>
      <c r="C126" s="53"/>
      <c r="D126" s="54"/>
      <c r="E126" s="55"/>
      <c r="F126" s="53"/>
      <c r="G126" s="56"/>
      <c r="H126" s="57"/>
      <c r="I126" s="57"/>
      <c r="J126" s="57"/>
      <c r="K126" s="57"/>
      <c r="L126" s="58" t="s">
        <v>99</v>
      </c>
    </row>
    <row r="127" spans="1:12" ht="15">
      <c r="A127" s="52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12" ht="15.75">
      <c r="A128" s="37"/>
      <c r="B128" s="38"/>
      <c r="C128" s="38"/>
      <c r="D128" s="39"/>
      <c r="E128" s="39"/>
      <c r="F128" s="38"/>
      <c r="G128" s="40"/>
      <c r="H128" s="41"/>
      <c r="I128" s="41"/>
      <c r="J128" s="41"/>
      <c r="K128" s="41"/>
      <c r="L128" s="42"/>
    </row>
    <row r="129" spans="1:12" ht="15.75">
      <c r="A129" s="37"/>
      <c r="B129" s="38"/>
      <c r="C129" s="38"/>
      <c r="D129" s="39"/>
      <c r="E129" s="39"/>
      <c r="F129" s="38"/>
      <c r="G129" s="40"/>
      <c r="H129" s="41"/>
      <c r="I129" s="41"/>
      <c r="J129" s="41"/>
      <c r="K129" s="41"/>
      <c r="L129" s="42"/>
    </row>
    <row r="130" spans="1:12" ht="15.75">
      <c r="A130" s="37"/>
      <c r="B130" s="38"/>
      <c r="C130" s="38"/>
      <c r="D130" s="39"/>
      <c r="E130" s="39"/>
      <c r="F130" s="38"/>
      <c r="G130" s="40"/>
      <c r="H130" s="41"/>
      <c r="I130" s="41"/>
      <c r="J130" s="41"/>
      <c r="K130" s="41"/>
      <c r="L130" s="58" t="s">
        <v>34</v>
      </c>
    </row>
    <row r="131" spans="1:12" ht="16.5">
      <c r="A131" s="229" t="str">
        <f>A6</f>
        <v>GOVERNO DO ESTADO DO RIO DE JANEIRO</v>
      </c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</row>
    <row r="132" spans="1:12" ht="16.5">
      <c r="A132" s="241" t="str">
        <f>A7</f>
        <v>RELATÓRIO RESUMIDO DA EXECUÇÃO ORÇAMENTÁRIA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</row>
    <row r="133" spans="1:12" ht="16.5">
      <c r="A133" s="306" t="str">
        <f>A8</f>
        <v>BALANÇO ORÇAMENTÁRIO</v>
      </c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</row>
    <row r="134" spans="1:12" ht="16.5">
      <c r="A134" s="229" t="str">
        <f>A9</f>
        <v>ORÇAMENTOS FISCAL E DA SEGURIDADE SOCIAL</v>
      </c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</row>
    <row r="135" spans="1:12" ht="16.5">
      <c r="A135" s="241" t="str">
        <f>A10</f>
        <v>JANEIRO A DEZEMBRO 2020/BIMESTRE NOVEMBRO-DEZEMBRO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</row>
    <row r="136" spans="1:12" ht="16.5">
      <c r="A136" s="59"/>
      <c r="B136" s="60"/>
      <c r="C136" s="83"/>
      <c r="D136" s="83"/>
      <c r="E136" s="83"/>
      <c r="F136" s="83"/>
      <c r="G136" s="83"/>
      <c r="H136" s="83"/>
      <c r="I136" s="83"/>
      <c r="J136" s="83"/>
      <c r="K136" s="83"/>
      <c r="L136" s="83"/>
    </row>
    <row r="137" spans="1:12" ht="15.75">
      <c r="A137" s="61"/>
      <c r="B137" s="61"/>
      <c r="C137" s="82"/>
      <c r="D137" s="82"/>
      <c r="E137" s="82"/>
      <c r="F137" s="82"/>
      <c r="G137" s="82"/>
      <c r="H137" s="61"/>
      <c r="I137" s="62"/>
      <c r="J137" s="62"/>
      <c r="K137" s="62"/>
      <c r="L137" s="94" t="str">
        <f>L12</f>
        <v>Emissão: 22/01/2021</v>
      </c>
    </row>
    <row r="138" spans="1:12" ht="15.75">
      <c r="A138" s="63" t="str">
        <f>A13</f>
        <v>RREO - Anexo 1 (LRF, Art. 52, inciso I, alíneas "a" e "b" do inciso II e §1º)</v>
      </c>
      <c r="B138" s="64"/>
      <c r="C138" s="93"/>
      <c r="D138" s="93"/>
      <c r="E138" s="93"/>
      <c r="F138" s="93"/>
      <c r="G138" s="93"/>
      <c r="H138" s="93"/>
      <c r="I138" s="123"/>
      <c r="J138" s="65"/>
      <c r="K138" s="66"/>
      <c r="L138" s="65">
        <v>1</v>
      </c>
    </row>
    <row r="139" spans="1:12" ht="15.75">
      <c r="A139" s="223" t="s">
        <v>4</v>
      </c>
      <c r="B139" s="224"/>
      <c r="C139" s="244" t="s">
        <v>72</v>
      </c>
      <c r="D139" s="78" t="s">
        <v>87</v>
      </c>
      <c r="E139" s="247" t="s">
        <v>3</v>
      </c>
      <c r="F139" s="248"/>
      <c r="G139" s="248"/>
      <c r="H139" s="248"/>
      <c r="I139" s="249"/>
      <c r="J139" s="242" t="s">
        <v>73</v>
      </c>
      <c r="K139" s="243"/>
      <c r="L139" s="243"/>
    </row>
    <row r="140" spans="1:12" ht="15.75">
      <c r="A140" s="225"/>
      <c r="B140" s="226"/>
      <c r="C140" s="245"/>
      <c r="D140" s="79" t="s">
        <v>6</v>
      </c>
      <c r="E140" s="78" t="s">
        <v>7</v>
      </c>
      <c r="F140" s="80" t="s">
        <v>8</v>
      </c>
      <c r="G140" s="242" t="s">
        <v>9</v>
      </c>
      <c r="H140" s="250"/>
      <c r="I140" s="80" t="s">
        <v>8</v>
      </c>
      <c r="J140" s="251"/>
      <c r="K140" s="252"/>
      <c r="L140" s="252"/>
    </row>
    <row r="141" spans="1:12" ht="15.75">
      <c r="A141" s="227"/>
      <c r="B141" s="228"/>
      <c r="C141" s="246"/>
      <c r="D141" s="81" t="s">
        <v>10</v>
      </c>
      <c r="E141" s="81" t="s">
        <v>11</v>
      </c>
      <c r="F141" s="81" t="s">
        <v>12</v>
      </c>
      <c r="G141" s="238" t="s">
        <v>74</v>
      </c>
      <c r="H141" s="239"/>
      <c r="I141" s="81" t="s">
        <v>13</v>
      </c>
      <c r="J141" s="238" t="s">
        <v>14</v>
      </c>
      <c r="K141" s="240"/>
      <c r="L141" s="240"/>
    </row>
    <row r="142" spans="1:12" ht="15.75">
      <c r="A142" s="234" t="s">
        <v>56</v>
      </c>
      <c r="B142" s="235"/>
      <c r="C142" s="130">
        <f>C143+C183</f>
        <v>6040339444</v>
      </c>
      <c r="D142" s="131">
        <f>D143+D183</f>
        <v>5760747096.99</v>
      </c>
      <c r="E142" s="132">
        <f>E143+E183</f>
        <v>1069852727.0999998</v>
      </c>
      <c r="F142" s="14">
        <f>(E142/D142)*100</f>
        <v>18.57142327353686</v>
      </c>
      <c r="G142" s="109"/>
      <c r="H142" s="173">
        <f>H143+H183</f>
        <v>4676543868.28</v>
      </c>
      <c r="I142" s="14">
        <f>(H142/D142)*100</f>
        <v>81.17946838394454</v>
      </c>
      <c r="J142" s="236">
        <f aca="true" t="shared" si="10" ref="J142:J173">D142-H142</f>
        <v>1084203228.71</v>
      </c>
      <c r="K142" s="237"/>
      <c r="L142" s="237"/>
    </row>
    <row r="143" spans="1:12" ht="15.75">
      <c r="A143" s="232" t="s">
        <v>35</v>
      </c>
      <c r="B143" s="232"/>
      <c r="C143" s="133">
        <f>C144+C148+C153+C161+C162+C163+C169+C178</f>
        <v>6040339444</v>
      </c>
      <c r="D143" s="134">
        <f>D144+D148+D153+D161+D162+D163+D169+D178</f>
        <v>5760640020.49</v>
      </c>
      <c r="E143" s="132">
        <f>E144+E148+E153+E161+E162+E163+E169+E178</f>
        <v>1069823024.9699998</v>
      </c>
      <c r="F143" s="17">
        <f>(E143/D143)*100</f>
        <v>18.57125286712501</v>
      </c>
      <c r="G143" s="110"/>
      <c r="H143" s="174">
        <f>H144+H148+H153+H161+H162+H163+H169+H178</f>
        <v>4676405846.88</v>
      </c>
      <c r="I143" s="17">
        <f>(H143/D143)*100</f>
        <v>81.1785813771822</v>
      </c>
      <c r="J143" s="230">
        <f t="shared" si="10"/>
        <v>1084234173.6099997</v>
      </c>
      <c r="K143" s="231"/>
      <c r="L143" s="231"/>
    </row>
    <row r="144" spans="1:12" ht="15.75">
      <c r="A144" s="207" t="s">
        <v>139</v>
      </c>
      <c r="B144" s="207"/>
      <c r="C144" s="19">
        <f>C145+C146+C147</f>
        <v>0</v>
      </c>
      <c r="D144" s="20">
        <f>D145+D146+D147</f>
        <v>0</v>
      </c>
      <c r="E144" s="21">
        <f>E145+E146+E147</f>
        <v>0</v>
      </c>
      <c r="F144" s="22">
        <v>0</v>
      </c>
      <c r="G144" s="107"/>
      <c r="H144" s="108">
        <f>H145+H146+H147</f>
        <v>0</v>
      </c>
      <c r="I144" s="22">
        <v>0</v>
      </c>
      <c r="J144" s="195">
        <f t="shared" si="10"/>
        <v>0</v>
      </c>
      <c r="K144" s="196"/>
      <c r="L144" s="196"/>
    </row>
    <row r="145" spans="1:12" ht="15.75">
      <c r="A145" s="207" t="s">
        <v>36</v>
      </c>
      <c r="B145" s="207"/>
      <c r="C145" s="19">
        <v>0</v>
      </c>
      <c r="D145" s="20">
        <v>0</v>
      </c>
      <c r="E145" s="21">
        <f>H145</f>
        <v>0</v>
      </c>
      <c r="F145" s="22">
        <v>0</v>
      </c>
      <c r="G145" s="107"/>
      <c r="H145" s="108">
        <v>0</v>
      </c>
      <c r="I145" s="22">
        <v>0</v>
      </c>
      <c r="J145" s="195">
        <f t="shared" si="10"/>
        <v>0</v>
      </c>
      <c r="K145" s="196"/>
      <c r="L145" s="196"/>
    </row>
    <row r="146" spans="1:12" ht="15.75">
      <c r="A146" s="207" t="s">
        <v>37</v>
      </c>
      <c r="B146" s="207"/>
      <c r="C146" s="19">
        <v>0</v>
      </c>
      <c r="D146" s="20">
        <v>0</v>
      </c>
      <c r="E146" s="21">
        <f>H146</f>
        <v>0</v>
      </c>
      <c r="F146" s="22">
        <v>0</v>
      </c>
      <c r="G146" s="107"/>
      <c r="H146" s="108">
        <v>0</v>
      </c>
      <c r="I146" s="22">
        <v>0</v>
      </c>
      <c r="J146" s="195">
        <f t="shared" si="10"/>
        <v>0</v>
      </c>
      <c r="K146" s="196"/>
      <c r="L146" s="196"/>
    </row>
    <row r="147" spans="1:12" ht="15.75">
      <c r="A147" s="233" t="s">
        <v>140</v>
      </c>
      <c r="B147" s="233"/>
      <c r="C147" s="27">
        <v>0</v>
      </c>
      <c r="D147" s="20">
        <v>0</v>
      </c>
      <c r="E147" s="21">
        <f>H147</f>
        <v>0</v>
      </c>
      <c r="F147" s="22">
        <v>0</v>
      </c>
      <c r="G147" s="107"/>
      <c r="H147" s="108">
        <v>0</v>
      </c>
      <c r="I147" s="22">
        <v>0</v>
      </c>
      <c r="J147" s="195">
        <f t="shared" si="10"/>
        <v>0</v>
      </c>
      <c r="K147" s="196"/>
      <c r="L147" s="196"/>
    </row>
    <row r="148" spans="1:12" ht="15.75">
      <c r="A148" s="207" t="s">
        <v>38</v>
      </c>
      <c r="B148" s="207"/>
      <c r="C148" s="129">
        <f>C150+C149+C151+C152</f>
        <v>4066464206</v>
      </c>
      <c r="D148" s="135">
        <f>D150+D149+D151+D152</f>
        <v>4066464206</v>
      </c>
      <c r="E148" s="136">
        <f>E150+E149+E151+E152</f>
        <v>606394908.1199999</v>
      </c>
      <c r="F148" s="22">
        <f>(E148/D148)*100</f>
        <v>14.912092604313948</v>
      </c>
      <c r="G148" s="107"/>
      <c r="H148" s="162">
        <f>H149+H150+H151+H152</f>
        <v>2792922237.42</v>
      </c>
      <c r="I148" s="22">
        <f>(H148/D148)*100</f>
        <v>68.68183502756744</v>
      </c>
      <c r="J148" s="197">
        <f t="shared" si="10"/>
        <v>1273541968.58</v>
      </c>
      <c r="K148" s="198"/>
      <c r="L148" s="198"/>
    </row>
    <row r="149" spans="1:12" ht="15.75">
      <c r="A149" s="207" t="s">
        <v>39</v>
      </c>
      <c r="B149" s="207"/>
      <c r="C149" s="129">
        <v>4066464206</v>
      </c>
      <c r="D149" s="135">
        <v>4066464206</v>
      </c>
      <c r="E149" s="136">
        <f>H149-2186527329.3</f>
        <v>606394908.1199999</v>
      </c>
      <c r="F149" s="22">
        <f>(E149/D149)*100</f>
        <v>14.912092604313948</v>
      </c>
      <c r="G149" s="107"/>
      <c r="H149" s="162">
        <v>2792922237.42</v>
      </c>
      <c r="I149" s="22">
        <f>(H149/D149)*100</f>
        <v>68.68183502756744</v>
      </c>
      <c r="J149" s="197">
        <f t="shared" si="10"/>
        <v>1273541968.58</v>
      </c>
      <c r="K149" s="198"/>
      <c r="L149" s="198"/>
    </row>
    <row r="150" spans="1:12" ht="15.75">
      <c r="A150" s="207" t="s">
        <v>98</v>
      </c>
      <c r="B150" s="207"/>
      <c r="C150" s="19">
        <v>0</v>
      </c>
      <c r="D150" s="20">
        <v>0</v>
      </c>
      <c r="E150" s="21">
        <f>H150</f>
        <v>0</v>
      </c>
      <c r="F150" s="22">
        <v>0</v>
      </c>
      <c r="G150" s="107"/>
      <c r="H150" s="108">
        <v>0</v>
      </c>
      <c r="I150" s="22">
        <v>0</v>
      </c>
      <c r="J150" s="195">
        <f t="shared" si="10"/>
        <v>0</v>
      </c>
      <c r="K150" s="196"/>
      <c r="L150" s="196"/>
    </row>
    <row r="151" spans="1:12" ht="15.75">
      <c r="A151" s="207" t="s">
        <v>116</v>
      </c>
      <c r="B151" s="207"/>
      <c r="C151" s="19">
        <v>0</v>
      </c>
      <c r="D151" s="20">
        <v>0</v>
      </c>
      <c r="E151" s="21">
        <f>H151</f>
        <v>0</v>
      </c>
      <c r="F151" s="22">
        <v>0</v>
      </c>
      <c r="G151" s="107"/>
      <c r="H151" s="108">
        <v>0</v>
      </c>
      <c r="I151" s="22">
        <v>0</v>
      </c>
      <c r="J151" s="199">
        <f t="shared" si="10"/>
        <v>0</v>
      </c>
      <c r="K151" s="200"/>
      <c r="L151" s="200"/>
    </row>
    <row r="152" spans="1:12" ht="15.75">
      <c r="A152" s="207" t="s">
        <v>117</v>
      </c>
      <c r="B152" s="207"/>
      <c r="C152" s="19">
        <v>0</v>
      </c>
      <c r="D152" s="20">
        <v>0</v>
      </c>
      <c r="E152" s="21">
        <f>H152</f>
        <v>0</v>
      </c>
      <c r="F152" s="22">
        <v>0</v>
      </c>
      <c r="G152" s="107"/>
      <c r="H152" s="108">
        <v>0</v>
      </c>
      <c r="I152" s="22">
        <v>0</v>
      </c>
      <c r="J152" s="199">
        <f t="shared" si="10"/>
        <v>0</v>
      </c>
      <c r="K152" s="200"/>
      <c r="L152" s="200"/>
    </row>
    <row r="153" spans="1:12" ht="15.75">
      <c r="A153" s="207" t="s">
        <v>40</v>
      </c>
      <c r="B153" s="207"/>
      <c r="C153" s="129">
        <f>SUM(C154:C160)</f>
        <v>13506782</v>
      </c>
      <c r="D153" s="135">
        <f>SUM(D154:D160)</f>
        <v>13506782</v>
      </c>
      <c r="E153" s="136">
        <f>SUM(E154:E160)</f>
        <v>2555092.2300000004</v>
      </c>
      <c r="F153" s="22">
        <f>(E153/D153)*100</f>
        <v>18.917105717705375</v>
      </c>
      <c r="G153" s="107"/>
      <c r="H153" s="162">
        <f>SUM(H154:H160)</f>
        <v>12063485.21</v>
      </c>
      <c r="I153" s="22">
        <f>(H153/D153)*100</f>
        <v>89.31428085535104</v>
      </c>
      <c r="J153" s="197">
        <f t="shared" si="10"/>
        <v>1443296.789999999</v>
      </c>
      <c r="K153" s="198"/>
      <c r="L153" s="198"/>
    </row>
    <row r="154" spans="1:12" ht="15.75">
      <c r="A154" s="207" t="s">
        <v>118</v>
      </c>
      <c r="B154" s="207"/>
      <c r="C154" s="129">
        <v>13506782</v>
      </c>
      <c r="D154" s="135">
        <v>13506782</v>
      </c>
      <c r="E154" s="136">
        <f>H154-9508392.98</f>
        <v>2555092.2300000004</v>
      </c>
      <c r="F154" s="22">
        <f>(E154/D154)*100</f>
        <v>18.917105717705375</v>
      </c>
      <c r="G154" s="107"/>
      <c r="H154" s="162">
        <v>12063485.21</v>
      </c>
      <c r="I154" s="22">
        <f>(H154/D154)*100</f>
        <v>89.31428085535104</v>
      </c>
      <c r="J154" s="197">
        <f t="shared" si="10"/>
        <v>1443296.789999999</v>
      </c>
      <c r="K154" s="198"/>
      <c r="L154" s="198"/>
    </row>
    <row r="155" spans="1:12" ht="15.75">
      <c r="A155" s="207" t="s">
        <v>119</v>
      </c>
      <c r="B155" s="207"/>
      <c r="C155" s="19">
        <v>0</v>
      </c>
      <c r="D155" s="20">
        <v>0</v>
      </c>
      <c r="E155" s="21">
        <f aca="true" t="shared" si="11" ref="E155:E162">H155</f>
        <v>0</v>
      </c>
      <c r="F155" s="22">
        <v>0</v>
      </c>
      <c r="G155" s="107"/>
      <c r="H155" s="108">
        <v>0</v>
      </c>
      <c r="I155" s="22">
        <v>0</v>
      </c>
      <c r="J155" s="195">
        <f t="shared" si="10"/>
        <v>0</v>
      </c>
      <c r="K155" s="196"/>
      <c r="L155" s="196"/>
    </row>
    <row r="156" spans="1:12" ht="15.75">
      <c r="A156" s="207" t="s">
        <v>122</v>
      </c>
      <c r="B156" s="207"/>
      <c r="C156" s="19">
        <v>0</v>
      </c>
      <c r="D156" s="20">
        <v>0</v>
      </c>
      <c r="E156" s="21">
        <f t="shared" si="11"/>
        <v>0</v>
      </c>
      <c r="F156" s="22">
        <v>0</v>
      </c>
      <c r="G156" s="107"/>
      <c r="H156" s="108">
        <v>0</v>
      </c>
      <c r="I156" s="22">
        <v>0</v>
      </c>
      <c r="J156" s="195">
        <f t="shared" si="10"/>
        <v>0</v>
      </c>
      <c r="K156" s="196"/>
      <c r="L156" s="196"/>
    </row>
    <row r="157" spans="1:12" ht="15.75">
      <c r="A157" s="207" t="s">
        <v>120</v>
      </c>
      <c r="B157" s="207"/>
      <c r="C157" s="19">
        <v>0</v>
      </c>
      <c r="D157" s="20">
        <v>0</v>
      </c>
      <c r="E157" s="21">
        <f t="shared" si="11"/>
        <v>0</v>
      </c>
      <c r="F157" s="22">
        <v>0</v>
      </c>
      <c r="G157" s="107"/>
      <c r="H157" s="108">
        <v>0</v>
      </c>
      <c r="I157" s="22">
        <v>0</v>
      </c>
      <c r="J157" s="195">
        <f t="shared" si="10"/>
        <v>0</v>
      </c>
      <c r="K157" s="196"/>
      <c r="L157" s="196"/>
    </row>
    <row r="158" spans="1:12" ht="15" customHeight="1">
      <c r="A158" s="207" t="s">
        <v>121</v>
      </c>
      <c r="B158" s="207"/>
      <c r="C158" s="19">
        <v>0</v>
      </c>
      <c r="D158" s="20">
        <v>0</v>
      </c>
      <c r="E158" s="21">
        <f t="shared" si="11"/>
        <v>0</v>
      </c>
      <c r="F158" s="22">
        <v>0</v>
      </c>
      <c r="G158" s="107"/>
      <c r="H158" s="108">
        <v>0</v>
      </c>
      <c r="I158" s="22">
        <v>0</v>
      </c>
      <c r="J158" s="195">
        <f t="shared" si="10"/>
        <v>0</v>
      </c>
      <c r="K158" s="196"/>
      <c r="L158" s="196"/>
    </row>
    <row r="159" spans="1:12" ht="15.75">
      <c r="A159" s="207" t="s">
        <v>124</v>
      </c>
      <c r="B159" s="207"/>
      <c r="C159" s="19">
        <v>0</v>
      </c>
      <c r="D159" s="20">
        <v>0</v>
      </c>
      <c r="E159" s="21">
        <f t="shared" si="11"/>
        <v>0</v>
      </c>
      <c r="F159" s="22">
        <v>0</v>
      </c>
      <c r="G159" s="107"/>
      <c r="H159" s="108">
        <v>0</v>
      </c>
      <c r="I159" s="22">
        <v>0</v>
      </c>
      <c r="J159" s="195">
        <f t="shared" si="10"/>
        <v>0</v>
      </c>
      <c r="K159" s="196"/>
      <c r="L159" s="196"/>
    </row>
    <row r="160" spans="1:12" ht="15.75">
      <c r="A160" s="207" t="s">
        <v>123</v>
      </c>
      <c r="B160" s="207"/>
      <c r="C160" s="19">
        <v>0</v>
      </c>
      <c r="D160" s="20">
        <v>0</v>
      </c>
      <c r="E160" s="21">
        <f t="shared" si="11"/>
        <v>0</v>
      </c>
      <c r="F160" s="22">
        <v>0</v>
      </c>
      <c r="G160" s="107"/>
      <c r="H160" s="108">
        <v>0</v>
      </c>
      <c r="I160" s="22">
        <v>0</v>
      </c>
      <c r="J160" s="195">
        <f t="shared" si="10"/>
        <v>0</v>
      </c>
      <c r="K160" s="196"/>
      <c r="L160" s="196"/>
    </row>
    <row r="161" spans="1:12" ht="15.75">
      <c r="A161" s="207" t="s">
        <v>41</v>
      </c>
      <c r="B161" s="207"/>
      <c r="C161" s="19">
        <v>0</v>
      </c>
      <c r="D161" s="20">
        <v>0</v>
      </c>
      <c r="E161" s="21">
        <f t="shared" si="11"/>
        <v>0</v>
      </c>
      <c r="F161" s="22">
        <v>0</v>
      </c>
      <c r="G161" s="107"/>
      <c r="H161" s="108">
        <v>0</v>
      </c>
      <c r="I161" s="22">
        <v>0</v>
      </c>
      <c r="J161" s="195">
        <f t="shared" si="10"/>
        <v>0</v>
      </c>
      <c r="K161" s="196"/>
      <c r="L161" s="196"/>
    </row>
    <row r="162" spans="1:12" ht="15.75">
      <c r="A162" s="207" t="s">
        <v>42</v>
      </c>
      <c r="B162" s="207"/>
      <c r="C162" s="19">
        <v>0</v>
      </c>
      <c r="D162" s="20">
        <v>0</v>
      </c>
      <c r="E162" s="21">
        <f t="shared" si="11"/>
        <v>0</v>
      </c>
      <c r="F162" s="22">
        <v>0</v>
      </c>
      <c r="G162" s="107"/>
      <c r="H162" s="108">
        <v>0</v>
      </c>
      <c r="I162" s="22">
        <v>0</v>
      </c>
      <c r="J162" s="195">
        <f t="shared" si="10"/>
        <v>0</v>
      </c>
      <c r="K162" s="196"/>
      <c r="L162" s="196"/>
    </row>
    <row r="163" spans="1:12" ht="15.75">
      <c r="A163" s="207" t="s">
        <v>43</v>
      </c>
      <c r="B163" s="207"/>
      <c r="C163" s="129">
        <f>SUM(C164:C168)</f>
        <v>614360854</v>
      </c>
      <c r="D163" s="135">
        <f>SUM(D164:D168)</f>
        <v>614360854</v>
      </c>
      <c r="E163" s="136">
        <f>SUM(E164:E168)</f>
        <v>161292861.04</v>
      </c>
      <c r="F163" s="22">
        <f>(E163/D163)*100</f>
        <v>26.253766005735773</v>
      </c>
      <c r="G163" s="107"/>
      <c r="H163" s="162">
        <f>SUM(H164:H168)</f>
        <v>550693070.4</v>
      </c>
      <c r="I163" s="22">
        <f>(H163/D163)*100</f>
        <v>89.63674472657726</v>
      </c>
      <c r="J163" s="197">
        <f t="shared" si="10"/>
        <v>63667783.600000024</v>
      </c>
      <c r="K163" s="198"/>
      <c r="L163" s="198"/>
    </row>
    <row r="164" spans="1:12" ht="15.75">
      <c r="A164" s="207" t="s">
        <v>111</v>
      </c>
      <c r="B164" s="207"/>
      <c r="C164" s="129">
        <v>212652</v>
      </c>
      <c r="D164" s="135">
        <v>212652</v>
      </c>
      <c r="E164" s="136">
        <f>H164-679122.59</f>
        <v>328504.61</v>
      </c>
      <c r="F164" s="22">
        <f>(E164/D164)*100</f>
        <v>154.47990613772734</v>
      </c>
      <c r="G164" s="107"/>
      <c r="H164" s="162">
        <v>1007627.2</v>
      </c>
      <c r="I164" s="22">
        <f>(H164/D164)*100</f>
        <v>473.8385719391306</v>
      </c>
      <c r="J164" s="197">
        <f t="shared" si="10"/>
        <v>-794975.2</v>
      </c>
      <c r="K164" s="198"/>
      <c r="L164" s="198"/>
    </row>
    <row r="165" spans="1:12" ht="15.75">
      <c r="A165" s="207" t="s">
        <v>112</v>
      </c>
      <c r="B165" s="207"/>
      <c r="C165" s="19">
        <v>0</v>
      </c>
      <c r="D165" s="20">
        <v>0</v>
      </c>
      <c r="E165" s="21">
        <f>H165</f>
        <v>0</v>
      </c>
      <c r="F165" s="22">
        <v>0</v>
      </c>
      <c r="G165" s="107"/>
      <c r="H165" s="108">
        <v>0</v>
      </c>
      <c r="I165" s="22">
        <v>0</v>
      </c>
      <c r="J165" s="199">
        <f t="shared" si="10"/>
        <v>0</v>
      </c>
      <c r="K165" s="200"/>
      <c r="L165" s="200"/>
    </row>
    <row r="166" spans="1:12" ht="15.75">
      <c r="A166" s="207" t="s">
        <v>113</v>
      </c>
      <c r="B166" s="207"/>
      <c r="C166" s="129">
        <v>604682202</v>
      </c>
      <c r="D166" s="135">
        <v>604682202</v>
      </c>
      <c r="E166" s="136">
        <f>H166-292514015.18</f>
        <v>135686019.32999998</v>
      </c>
      <c r="F166" s="22">
        <f>(E166/D166)*100</f>
        <v>22.43922822289385</v>
      </c>
      <c r="G166" s="107"/>
      <c r="H166" s="162">
        <v>428200034.51</v>
      </c>
      <c r="I166" s="22">
        <f>(H166/D166)*100</f>
        <v>70.8140628405663</v>
      </c>
      <c r="J166" s="203">
        <f t="shared" si="10"/>
        <v>176482167.49</v>
      </c>
      <c r="K166" s="204"/>
      <c r="L166" s="204"/>
    </row>
    <row r="167" spans="1:12" ht="15.75">
      <c r="A167" s="207" t="s">
        <v>114</v>
      </c>
      <c r="B167" s="207"/>
      <c r="C167" s="19">
        <v>0</v>
      </c>
      <c r="D167" s="20">
        <v>0</v>
      </c>
      <c r="E167" s="21">
        <f>H167</f>
        <v>0</v>
      </c>
      <c r="F167" s="22">
        <v>0</v>
      </c>
      <c r="G167" s="107"/>
      <c r="H167" s="108">
        <v>0</v>
      </c>
      <c r="I167" s="22">
        <v>0</v>
      </c>
      <c r="J167" s="199">
        <f t="shared" si="10"/>
        <v>0</v>
      </c>
      <c r="K167" s="200"/>
      <c r="L167" s="200"/>
    </row>
    <row r="168" spans="1:12" ht="15.75">
      <c r="A168" s="207" t="s">
        <v>115</v>
      </c>
      <c r="B168" s="207"/>
      <c r="C168" s="129">
        <v>9466000</v>
      </c>
      <c r="D168" s="135">
        <v>9466000</v>
      </c>
      <c r="E168" s="136">
        <f>H168-96207071.59</f>
        <v>25278337.099999994</v>
      </c>
      <c r="F168" s="22">
        <f>(E168/D168)*100</f>
        <v>267.0434935558842</v>
      </c>
      <c r="G168" s="107"/>
      <c r="H168" s="162">
        <v>121485408.69</v>
      </c>
      <c r="I168" s="22">
        <f>(H168/D168)*100</f>
        <v>1283.3869500316923</v>
      </c>
      <c r="J168" s="203">
        <f t="shared" si="10"/>
        <v>-112019408.69</v>
      </c>
      <c r="K168" s="204"/>
      <c r="L168" s="204"/>
    </row>
    <row r="169" spans="1:12" ht="15.75">
      <c r="A169" s="207" t="s">
        <v>44</v>
      </c>
      <c r="B169" s="207"/>
      <c r="C169" s="129">
        <f>SUM(C170:C177)</f>
        <v>65612841</v>
      </c>
      <c r="D169" s="135">
        <f>SUM(D170:D177)</f>
        <v>65612841</v>
      </c>
      <c r="E169" s="21">
        <f>SUM(E170:E177)</f>
        <v>0</v>
      </c>
      <c r="F169" s="22">
        <f>(E169/D169)*100</f>
        <v>0</v>
      </c>
      <c r="G169" s="107"/>
      <c r="H169" s="108">
        <f>SUM(H170:H177)</f>
        <v>0</v>
      </c>
      <c r="I169" s="22">
        <f>(H169/D169)*100</f>
        <v>0</v>
      </c>
      <c r="J169" s="197">
        <f t="shared" si="10"/>
        <v>65612841</v>
      </c>
      <c r="K169" s="198"/>
      <c r="L169" s="198"/>
    </row>
    <row r="170" spans="1:12" ht="15.75">
      <c r="A170" s="207" t="s">
        <v>106</v>
      </c>
      <c r="B170" s="207"/>
      <c r="C170" s="19">
        <v>0</v>
      </c>
      <c r="D170" s="20">
        <v>0</v>
      </c>
      <c r="E170" s="21">
        <f aca="true" t="shared" si="12" ref="E170:E177">H170</f>
        <v>0</v>
      </c>
      <c r="F170" s="22">
        <v>0</v>
      </c>
      <c r="G170" s="107"/>
      <c r="H170" s="108">
        <v>0</v>
      </c>
      <c r="I170" s="22">
        <v>0</v>
      </c>
      <c r="J170" s="195">
        <f t="shared" si="10"/>
        <v>0</v>
      </c>
      <c r="K170" s="196"/>
      <c r="L170" s="196"/>
    </row>
    <row r="171" spans="1:12" ht="15.75">
      <c r="A171" s="207" t="s">
        <v>107</v>
      </c>
      <c r="B171" s="207"/>
      <c r="C171" s="129">
        <v>65612841</v>
      </c>
      <c r="D171" s="135">
        <v>65612841</v>
      </c>
      <c r="E171" s="21">
        <f t="shared" si="12"/>
        <v>0</v>
      </c>
      <c r="F171" s="22">
        <f>(E171/D171)*100</f>
        <v>0</v>
      </c>
      <c r="G171" s="107"/>
      <c r="H171" s="108">
        <v>0</v>
      </c>
      <c r="I171" s="22">
        <f>(H171/D171)*100</f>
        <v>0</v>
      </c>
      <c r="J171" s="197">
        <f t="shared" si="10"/>
        <v>65612841</v>
      </c>
      <c r="K171" s="198"/>
      <c r="L171" s="198"/>
    </row>
    <row r="172" spans="1:12" ht="15.75">
      <c r="A172" s="207" t="s">
        <v>108</v>
      </c>
      <c r="B172" s="207"/>
      <c r="C172" s="19">
        <v>0</v>
      </c>
      <c r="D172" s="20">
        <v>0</v>
      </c>
      <c r="E172" s="21">
        <f t="shared" si="12"/>
        <v>0</v>
      </c>
      <c r="F172" s="22">
        <v>0</v>
      </c>
      <c r="G172" s="107"/>
      <c r="H172" s="108">
        <v>0</v>
      </c>
      <c r="I172" s="22">
        <v>0</v>
      </c>
      <c r="J172" s="195">
        <f t="shared" si="10"/>
        <v>0</v>
      </c>
      <c r="K172" s="196"/>
      <c r="L172" s="196"/>
    </row>
    <row r="173" spans="1:12" ht="15.75">
      <c r="A173" s="207" t="s">
        <v>45</v>
      </c>
      <c r="B173" s="207"/>
      <c r="C173" s="19">
        <v>0</v>
      </c>
      <c r="D173" s="20">
        <v>0</v>
      </c>
      <c r="E173" s="21">
        <f t="shared" si="12"/>
        <v>0</v>
      </c>
      <c r="F173" s="22">
        <v>0</v>
      </c>
      <c r="G173" s="107"/>
      <c r="H173" s="108">
        <v>0</v>
      </c>
      <c r="I173" s="22">
        <v>0</v>
      </c>
      <c r="J173" s="195">
        <f t="shared" si="10"/>
        <v>0</v>
      </c>
      <c r="K173" s="196"/>
      <c r="L173" s="196"/>
    </row>
    <row r="174" spans="1:12" ht="15.75">
      <c r="A174" s="207" t="s">
        <v>91</v>
      </c>
      <c r="B174" s="207"/>
      <c r="C174" s="19">
        <v>0</v>
      </c>
      <c r="D174" s="20">
        <v>0</v>
      </c>
      <c r="E174" s="21">
        <f t="shared" si="12"/>
        <v>0</v>
      </c>
      <c r="F174" s="22">
        <v>0</v>
      </c>
      <c r="G174" s="107"/>
      <c r="H174" s="108">
        <v>0</v>
      </c>
      <c r="I174" s="22">
        <v>0</v>
      </c>
      <c r="J174" s="195">
        <f aca="true" t="shared" si="13" ref="J174:J205">D174-H174</f>
        <v>0</v>
      </c>
      <c r="K174" s="196"/>
      <c r="L174" s="196"/>
    </row>
    <row r="175" spans="1:12" ht="15.75">
      <c r="A175" s="207" t="s">
        <v>46</v>
      </c>
      <c r="B175" s="207"/>
      <c r="C175" s="19">
        <v>0</v>
      </c>
      <c r="D175" s="20">
        <v>0</v>
      </c>
      <c r="E175" s="21">
        <f t="shared" si="12"/>
        <v>0</v>
      </c>
      <c r="F175" s="22">
        <v>0</v>
      </c>
      <c r="G175" s="107"/>
      <c r="H175" s="108">
        <v>0</v>
      </c>
      <c r="I175" s="22">
        <v>0</v>
      </c>
      <c r="J175" s="199">
        <f t="shared" si="13"/>
        <v>0</v>
      </c>
      <c r="K175" s="200"/>
      <c r="L175" s="200"/>
    </row>
    <row r="176" spans="1:12" ht="15.75">
      <c r="A176" s="207" t="s">
        <v>109</v>
      </c>
      <c r="B176" s="207"/>
      <c r="C176" s="19">
        <v>0</v>
      </c>
      <c r="D176" s="20">
        <v>0</v>
      </c>
      <c r="E176" s="21">
        <f t="shared" si="12"/>
        <v>0</v>
      </c>
      <c r="F176" s="22">
        <v>0</v>
      </c>
      <c r="G176" s="107"/>
      <c r="H176" s="108">
        <v>0</v>
      </c>
      <c r="I176" s="22">
        <v>0</v>
      </c>
      <c r="J176" s="199">
        <f t="shared" si="13"/>
        <v>0</v>
      </c>
      <c r="K176" s="200"/>
      <c r="L176" s="200"/>
    </row>
    <row r="177" spans="1:12" ht="15.75">
      <c r="A177" s="207" t="s">
        <v>110</v>
      </c>
      <c r="B177" s="207"/>
      <c r="C177" s="19">
        <v>0</v>
      </c>
      <c r="D177" s="20">
        <v>0</v>
      </c>
      <c r="E177" s="21">
        <f t="shared" si="12"/>
        <v>0</v>
      </c>
      <c r="F177" s="22">
        <v>0</v>
      </c>
      <c r="G177" s="107"/>
      <c r="H177" s="108">
        <v>0</v>
      </c>
      <c r="I177" s="22">
        <v>0</v>
      </c>
      <c r="J177" s="199">
        <f t="shared" si="13"/>
        <v>0</v>
      </c>
      <c r="K177" s="200"/>
      <c r="L177" s="200"/>
    </row>
    <row r="178" spans="1:12" ht="15.75">
      <c r="A178" s="207" t="s">
        <v>47</v>
      </c>
      <c r="B178" s="207"/>
      <c r="C178" s="129">
        <f>SUM(C179:C182)</f>
        <v>1280394761</v>
      </c>
      <c r="D178" s="135">
        <f>SUM(D179:D182)</f>
        <v>1000695337.49</v>
      </c>
      <c r="E178" s="136">
        <f>SUM(E179:E182)</f>
        <v>299580163.58</v>
      </c>
      <c r="F178" s="22">
        <f>(E178/D178)*100</f>
        <v>29.93719990056351</v>
      </c>
      <c r="G178" s="112"/>
      <c r="H178" s="165">
        <f>SUM(H179:H182)</f>
        <v>1320727053.85</v>
      </c>
      <c r="I178" s="22">
        <f>(H178/D178)*100</f>
        <v>131.9809340935595</v>
      </c>
      <c r="J178" s="197">
        <f t="shared" si="13"/>
        <v>-320031716.3599999</v>
      </c>
      <c r="K178" s="198"/>
      <c r="L178" s="198"/>
    </row>
    <row r="179" spans="1:12" ht="15.75">
      <c r="A179" s="207" t="s">
        <v>102</v>
      </c>
      <c r="B179" s="207"/>
      <c r="C179" s="19">
        <v>0</v>
      </c>
      <c r="D179" s="20">
        <v>0</v>
      </c>
      <c r="E179" s="136">
        <f>H179-15343.98</f>
        <v>1083.1599999999999</v>
      </c>
      <c r="F179" s="22">
        <v>0</v>
      </c>
      <c r="G179" s="107"/>
      <c r="H179" s="172">
        <v>16427.14</v>
      </c>
      <c r="I179" s="22">
        <v>0</v>
      </c>
      <c r="J179" s="197">
        <f t="shared" si="13"/>
        <v>-16427.14</v>
      </c>
      <c r="K179" s="198"/>
      <c r="L179" s="198"/>
    </row>
    <row r="180" spans="1:12" ht="15.75">
      <c r="A180" s="207" t="s">
        <v>103</v>
      </c>
      <c r="B180" s="207"/>
      <c r="C180" s="129">
        <v>1224401781</v>
      </c>
      <c r="D180" s="135">
        <v>944702357.49</v>
      </c>
      <c r="E180" s="136">
        <f>H180-936229869.91</f>
        <v>299579080.41999996</v>
      </c>
      <c r="F180" s="22">
        <f>(E180/D180)*100</f>
        <v>31.711478016838875</v>
      </c>
      <c r="G180" s="112"/>
      <c r="H180" s="165">
        <v>1235808950.33</v>
      </c>
      <c r="I180" s="22">
        <f>(H180/D180)*100</f>
        <v>130.8146360101659</v>
      </c>
      <c r="J180" s="197">
        <f t="shared" si="13"/>
        <v>-291106592.8399999</v>
      </c>
      <c r="K180" s="198"/>
      <c r="L180" s="198"/>
    </row>
    <row r="181" spans="1:12" ht="15.75">
      <c r="A181" s="207" t="s">
        <v>104</v>
      </c>
      <c r="B181" s="207"/>
      <c r="C181" s="19">
        <v>0</v>
      </c>
      <c r="D181" s="25">
        <v>0</v>
      </c>
      <c r="E181" s="21">
        <f>H181</f>
        <v>0</v>
      </c>
      <c r="F181" s="22">
        <v>0</v>
      </c>
      <c r="G181" s="107"/>
      <c r="H181" s="108">
        <v>0</v>
      </c>
      <c r="I181" s="22">
        <v>0</v>
      </c>
      <c r="J181" s="195">
        <f t="shared" si="13"/>
        <v>0</v>
      </c>
      <c r="K181" s="196"/>
      <c r="L181" s="196"/>
    </row>
    <row r="182" spans="1:12" ht="15" customHeight="1">
      <c r="A182" s="207" t="s">
        <v>105</v>
      </c>
      <c r="B182" s="207"/>
      <c r="C182" s="129">
        <v>55992980</v>
      </c>
      <c r="D182" s="129">
        <v>55992980</v>
      </c>
      <c r="E182" s="21">
        <f>H182-84901676.38</f>
        <v>0</v>
      </c>
      <c r="F182" s="22">
        <f>(E182/D182)*100</f>
        <v>0</v>
      </c>
      <c r="G182" s="107"/>
      <c r="H182" s="162">
        <v>84901676.38</v>
      </c>
      <c r="I182" s="22">
        <f>(H182/D182)*100</f>
        <v>151.62914418914656</v>
      </c>
      <c r="J182" s="197">
        <f t="shared" si="13"/>
        <v>-28908696.379999995</v>
      </c>
      <c r="K182" s="198"/>
      <c r="L182" s="198"/>
    </row>
    <row r="183" spans="1:12" ht="15.75">
      <c r="A183" s="232" t="s">
        <v>48</v>
      </c>
      <c r="B183" s="232"/>
      <c r="C183" s="16">
        <f>C184+C187+C191+C192+C201</f>
        <v>0</v>
      </c>
      <c r="D183" s="134">
        <f>D184+D187+D191+D192+D201</f>
        <v>107076.5</v>
      </c>
      <c r="E183" s="132">
        <f>E184+E187+E191+E192+E201</f>
        <v>29702.12999999999</v>
      </c>
      <c r="F183" s="17">
        <v>0</v>
      </c>
      <c r="G183" s="110"/>
      <c r="H183" s="111">
        <f>H184+H187+H191+H192+H201</f>
        <v>138021.4</v>
      </c>
      <c r="I183" s="17">
        <f>(H183/D183)*100</f>
        <v>128.89980527940304</v>
      </c>
      <c r="J183" s="230">
        <f t="shared" si="13"/>
        <v>-30944.899999999994</v>
      </c>
      <c r="K183" s="231"/>
      <c r="L183" s="231"/>
    </row>
    <row r="184" spans="1:12" ht="15.75">
      <c r="A184" s="207" t="s">
        <v>49</v>
      </c>
      <c r="B184" s="207"/>
      <c r="C184" s="19">
        <f>C185+C186</f>
        <v>0</v>
      </c>
      <c r="D184" s="20">
        <f>D185+D186</f>
        <v>0</v>
      </c>
      <c r="E184" s="21">
        <f>E185+E186</f>
        <v>0</v>
      </c>
      <c r="F184" s="22">
        <v>0</v>
      </c>
      <c r="G184" s="107"/>
      <c r="H184" s="108">
        <f>H185+H186</f>
        <v>0</v>
      </c>
      <c r="I184" s="22">
        <v>0</v>
      </c>
      <c r="J184" s="195">
        <f t="shared" si="13"/>
        <v>0</v>
      </c>
      <c r="K184" s="196"/>
      <c r="L184" s="196"/>
    </row>
    <row r="185" spans="1:12" ht="15.75">
      <c r="A185" s="207" t="s">
        <v>125</v>
      </c>
      <c r="B185" s="207"/>
      <c r="C185" s="19">
        <v>0</v>
      </c>
      <c r="D185" s="20">
        <v>0</v>
      </c>
      <c r="E185" s="21">
        <f>H185</f>
        <v>0</v>
      </c>
      <c r="F185" s="22">
        <v>0</v>
      </c>
      <c r="G185" s="107"/>
      <c r="H185" s="108">
        <v>0</v>
      </c>
      <c r="I185" s="22">
        <v>0</v>
      </c>
      <c r="J185" s="195">
        <f t="shared" si="13"/>
        <v>0</v>
      </c>
      <c r="K185" s="196"/>
      <c r="L185" s="196"/>
    </row>
    <row r="186" spans="1:12" ht="15.75">
      <c r="A186" s="207" t="s">
        <v>126</v>
      </c>
      <c r="B186" s="207"/>
      <c r="C186" s="19">
        <v>0</v>
      </c>
      <c r="D186" s="20">
        <v>0</v>
      </c>
      <c r="E186" s="21">
        <f>H186</f>
        <v>0</v>
      </c>
      <c r="F186" s="22">
        <v>0</v>
      </c>
      <c r="G186" s="107"/>
      <c r="H186" s="108">
        <v>0</v>
      </c>
      <c r="I186" s="22">
        <v>0</v>
      </c>
      <c r="J186" s="195">
        <f t="shared" si="13"/>
        <v>0</v>
      </c>
      <c r="K186" s="196"/>
      <c r="L186" s="196"/>
    </row>
    <row r="187" spans="1:12" ht="15.75">
      <c r="A187" s="207" t="s">
        <v>50</v>
      </c>
      <c r="B187" s="207"/>
      <c r="C187" s="19">
        <f>C188+C189+C190</f>
        <v>0</v>
      </c>
      <c r="D187" s="20">
        <f>D188+D189+D190</f>
        <v>0</v>
      </c>
      <c r="E187" s="21">
        <f>E188+E189+E190</f>
        <v>0</v>
      </c>
      <c r="F187" s="22">
        <v>0</v>
      </c>
      <c r="G187" s="107"/>
      <c r="H187" s="108">
        <f>SUM(H188:H190)</f>
        <v>0</v>
      </c>
      <c r="I187" s="22">
        <v>0</v>
      </c>
      <c r="J187" s="195">
        <f t="shared" si="13"/>
        <v>0</v>
      </c>
      <c r="K187" s="196"/>
      <c r="L187" s="196"/>
    </row>
    <row r="188" spans="1:12" ht="15.75">
      <c r="A188" s="207" t="s">
        <v>51</v>
      </c>
      <c r="B188" s="207"/>
      <c r="C188" s="19">
        <v>0</v>
      </c>
      <c r="D188" s="20">
        <v>0</v>
      </c>
      <c r="E188" s="21">
        <f>H188</f>
        <v>0</v>
      </c>
      <c r="F188" s="22">
        <v>0</v>
      </c>
      <c r="G188" s="107"/>
      <c r="H188" s="108">
        <v>0</v>
      </c>
      <c r="I188" s="22">
        <v>0</v>
      </c>
      <c r="J188" s="195">
        <f t="shared" si="13"/>
        <v>0</v>
      </c>
      <c r="K188" s="196"/>
      <c r="L188" s="196"/>
    </row>
    <row r="189" spans="1:12" ht="15.75">
      <c r="A189" s="207" t="s">
        <v>52</v>
      </c>
      <c r="B189" s="207"/>
      <c r="C189" s="19">
        <v>0</v>
      </c>
      <c r="D189" s="20">
        <v>0</v>
      </c>
      <c r="E189" s="21">
        <f>H189</f>
        <v>0</v>
      </c>
      <c r="F189" s="22">
        <v>0</v>
      </c>
      <c r="G189" s="107"/>
      <c r="H189" s="108">
        <v>0</v>
      </c>
      <c r="I189" s="22">
        <v>0</v>
      </c>
      <c r="J189" s="195">
        <f t="shared" si="13"/>
        <v>0</v>
      </c>
      <c r="K189" s="196"/>
      <c r="L189" s="196"/>
    </row>
    <row r="190" spans="1:12" ht="15.75">
      <c r="A190" s="207" t="s">
        <v>127</v>
      </c>
      <c r="B190" s="207"/>
      <c r="C190" s="19">
        <v>0</v>
      </c>
      <c r="D190" s="20">
        <v>0</v>
      </c>
      <c r="E190" s="21">
        <f>H190</f>
        <v>0</v>
      </c>
      <c r="F190" s="22">
        <v>0</v>
      </c>
      <c r="G190" s="107"/>
      <c r="H190" s="108">
        <v>0</v>
      </c>
      <c r="I190" s="22">
        <v>0</v>
      </c>
      <c r="J190" s="199">
        <f t="shared" si="13"/>
        <v>0</v>
      </c>
      <c r="K190" s="200"/>
      <c r="L190" s="200"/>
    </row>
    <row r="191" spans="1:12" ht="15.75">
      <c r="A191" s="207" t="s">
        <v>53</v>
      </c>
      <c r="B191" s="207"/>
      <c r="C191" s="19">
        <v>0</v>
      </c>
      <c r="D191" s="135">
        <v>107076.5</v>
      </c>
      <c r="E191" s="136">
        <f>H191-108319.27</f>
        <v>29702.12999999999</v>
      </c>
      <c r="F191" s="22">
        <v>0</v>
      </c>
      <c r="G191" s="107"/>
      <c r="H191" s="162">
        <v>138021.4</v>
      </c>
      <c r="I191" s="22">
        <f>(H191/D191)*100</f>
        <v>128.89980527940304</v>
      </c>
      <c r="J191" s="197">
        <f t="shared" si="13"/>
        <v>-30944.899999999994</v>
      </c>
      <c r="K191" s="198"/>
      <c r="L191" s="198"/>
    </row>
    <row r="192" spans="1:12" ht="15.75">
      <c r="A192" s="207" t="s">
        <v>54</v>
      </c>
      <c r="B192" s="207"/>
      <c r="C192" s="19">
        <f>SUM(C193:C200)</f>
        <v>0</v>
      </c>
      <c r="D192" s="19">
        <f>SUM(D193:D200)</f>
        <v>0</v>
      </c>
      <c r="E192" s="21">
        <f>SUM(E193:E200)</f>
        <v>0</v>
      </c>
      <c r="F192" s="22">
        <v>0</v>
      </c>
      <c r="G192" s="107"/>
      <c r="H192" s="108">
        <f>SUM(H193:H200)</f>
        <v>0</v>
      </c>
      <c r="I192" s="22">
        <v>0</v>
      </c>
      <c r="J192" s="195">
        <f t="shared" si="13"/>
        <v>0</v>
      </c>
      <c r="K192" s="196"/>
      <c r="L192" s="196"/>
    </row>
    <row r="193" spans="1:12" ht="15.75">
      <c r="A193" s="207" t="s">
        <v>106</v>
      </c>
      <c r="B193" s="207"/>
      <c r="C193" s="19">
        <v>0</v>
      </c>
      <c r="D193" s="20">
        <v>0</v>
      </c>
      <c r="E193" s="21">
        <f>H193</f>
        <v>0</v>
      </c>
      <c r="F193" s="22">
        <v>0</v>
      </c>
      <c r="G193" s="107"/>
      <c r="H193" s="108">
        <v>0</v>
      </c>
      <c r="I193" s="22">
        <v>0</v>
      </c>
      <c r="J193" s="195">
        <f t="shared" si="13"/>
        <v>0</v>
      </c>
      <c r="K193" s="196"/>
      <c r="L193" s="196"/>
    </row>
    <row r="194" spans="1:12" ht="15.75">
      <c r="A194" s="207" t="s">
        <v>107</v>
      </c>
      <c r="B194" s="207"/>
      <c r="C194" s="19">
        <v>0</v>
      </c>
      <c r="D194" s="20">
        <v>0</v>
      </c>
      <c r="E194" s="21">
        <f>H194-0</f>
        <v>0</v>
      </c>
      <c r="F194" s="22">
        <v>0</v>
      </c>
      <c r="G194" s="107"/>
      <c r="H194" s="108"/>
      <c r="I194" s="22">
        <v>0</v>
      </c>
      <c r="J194" s="195">
        <f t="shared" si="13"/>
        <v>0</v>
      </c>
      <c r="K194" s="196"/>
      <c r="L194" s="196"/>
    </row>
    <row r="195" spans="1:12" ht="15.75">
      <c r="A195" s="207" t="s">
        <v>108</v>
      </c>
      <c r="B195" s="207"/>
      <c r="C195" s="19">
        <v>0</v>
      </c>
      <c r="D195" s="20">
        <v>0</v>
      </c>
      <c r="E195" s="21">
        <f aca="true" t="shared" si="14" ref="E195:E200">H195</f>
        <v>0</v>
      </c>
      <c r="F195" s="22">
        <v>0</v>
      </c>
      <c r="G195" s="107"/>
      <c r="H195" s="108">
        <v>0</v>
      </c>
      <c r="I195" s="22">
        <v>0</v>
      </c>
      <c r="J195" s="195">
        <f t="shared" si="13"/>
        <v>0</v>
      </c>
      <c r="K195" s="196"/>
      <c r="L195" s="196"/>
    </row>
    <row r="196" spans="1:12" ht="15.75">
      <c r="A196" s="207" t="s">
        <v>45</v>
      </c>
      <c r="B196" s="207"/>
      <c r="C196" s="19">
        <v>0</v>
      </c>
      <c r="D196" s="20">
        <v>0</v>
      </c>
      <c r="E196" s="21">
        <f t="shared" si="14"/>
        <v>0</v>
      </c>
      <c r="F196" s="22">
        <v>0</v>
      </c>
      <c r="G196" s="107"/>
      <c r="H196" s="108">
        <v>0</v>
      </c>
      <c r="I196" s="22">
        <v>0</v>
      </c>
      <c r="J196" s="195">
        <f t="shared" si="13"/>
        <v>0</v>
      </c>
      <c r="K196" s="196"/>
      <c r="L196" s="196"/>
    </row>
    <row r="197" spans="1:12" ht="15.75">
      <c r="A197" s="207" t="s">
        <v>91</v>
      </c>
      <c r="B197" s="207"/>
      <c r="C197" s="19">
        <v>0</v>
      </c>
      <c r="D197" s="20">
        <v>0</v>
      </c>
      <c r="E197" s="21">
        <f t="shared" si="14"/>
        <v>0</v>
      </c>
      <c r="F197" s="22">
        <v>0</v>
      </c>
      <c r="G197" s="107"/>
      <c r="H197" s="108">
        <v>0</v>
      </c>
      <c r="I197" s="22">
        <v>0</v>
      </c>
      <c r="J197" s="195">
        <f t="shared" si="13"/>
        <v>0</v>
      </c>
      <c r="K197" s="196"/>
      <c r="L197" s="196"/>
    </row>
    <row r="198" spans="1:12" ht="15.75">
      <c r="A198" s="207" t="s">
        <v>46</v>
      </c>
      <c r="B198" s="207"/>
      <c r="C198" s="19">
        <v>0</v>
      </c>
      <c r="D198" s="20">
        <v>0</v>
      </c>
      <c r="E198" s="21">
        <f t="shared" si="14"/>
        <v>0</v>
      </c>
      <c r="F198" s="22">
        <v>0</v>
      </c>
      <c r="G198" s="107"/>
      <c r="H198" s="108">
        <v>0</v>
      </c>
      <c r="I198" s="22">
        <v>0</v>
      </c>
      <c r="J198" s="195">
        <f t="shared" si="13"/>
        <v>0</v>
      </c>
      <c r="K198" s="196"/>
      <c r="L198" s="196"/>
    </row>
    <row r="199" spans="1:12" ht="15.75">
      <c r="A199" s="207" t="s">
        <v>109</v>
      </c>
      <c r="B199" s="207"/>
      <c r="C199" s="19">
        <v>0</v>
      </c>
      <c r="D199" s="20">
        <v>0</v>
      </c>
      <c r="E199" s="21">
        <f t="shared" si="14"/>
        <v>0</v>
      </c>
      <c r="F199" s="22">
        <v>0</v>
      </c>
      <c r="G199" s="107"/>
      <c r="H199" s="108">
        <v>0</v>
      </c>
      <c r="I199" s="22">
        <v>0</v>
      </c>
      <c r="J199" s="199">
        <f t="shared" si="13"/>
        <v>0</v>
      </c>
      <c r="K199" s="200"/>
      <c r="L199" s="200"/>
    </row>
    <row r="200" spans="1:12" ht="15.75">
      <c r="A200" s="207" t="s">
        <v>110</v>
      </c>
      <c r="B200" s="207"/>
      <c r="C200" s="19">
        <v>0</v>
      </c>
      <c r="D200" s="20">
        <v>0</v>
      </c>
      <c r="E200" s="21">
        <f t="shared" si="14"/>
        <v>0</v>
      </c>
      <c r="F200" s="22">
        <v>0</v>
      </c>
      <c r="G200" s="107"/>
      <c r="H200" s="108">
        <v>0</v>
      </c>
      <c r="I200" s="22">
        <v>0</v>
      </c>
      <c r="J200" s="199">
        <f t="shared" si="13"/>
        <v>0</v>
      </c>
      <c r="K200" s="200"/>
      <c r="L200" s="200"/>
    </row>
    <row r="201" spans="1:12" ht="15.75">
      <c r="A201" s="208" t="s">
        <v>55</v>
      </c>
      <c r="B201" s="207"/>
      <c r="C201" s="19">
        <f>SUM(C202:C205)</f>
        <v>0</v>
      </c>
      <c r="D201" s="20">
        <f>SUM(D202:D205)</f>
        <v>0</v>
      </c>
      <c r="E201" s="21">
        <f>SUM(E202:E205)</f>
        <v>0</v>
      </c>
      <c r="F201" s="22">
        <v>0</v>
      </c>
      <c r="G201" s="107"/>
      <c r="H201" s="108">
        <f>SUM(H202:H205)</f>
        <v>0</v>
      </c>
      <c r="I201" s="22">
        <v>0</v>
      </c>
      <c r="J201" s="195">
        <f t="shared" si="13"/>
        <v>0</v>
      </c>
      <c r="K201" s="196"/>
      <c r="L201" s="196"/>
    </row>
    <row r="202" spans="1:12" ht="15.75">
      <c r="A202" s="207" t="s">
        <v>128</v>
      </c>
      <c r="B202" s="207"/>
      <c r="C202" s="19">
        <v>0</v>
      </c>
      <c r="D202" s="20">
        <v>0</v>
      </c>
      <c r="E202" s="21">
        <f>H202-0</f>
        <v>0</v>
      </c>
      <c r="F202" s="22">
        <v>0</v>
      </c>
      <c r="G202" s="107"/>
      <c r="H202" s="108">
        <v>0</v>
      </c>
      <c r="I202" s="22">
        <v>0</v>
      </c>
      <c r="J202" s="195">
        <f t="shared" si="13"/>
        <v>0</v>
      </c>
      <c r="K202" s="196"/>
      <c r="L202" s="196"/>
    </row>
    <row r="203" spans="1:12" ht="15.75">
      <c r="A203" s="207" t="s">
        <v>129</v>
      </c>
      <c r="B203" s="207"/>
      <c r="C203" s="19">
        <v>0</v>
      </c>
      <c r="D203" s="20">
        <v>0</v>
      </c>
      <c r="E203" s="21">
        <f>H203</f>
        <v>0</v>
      </c>
      <c r="F203" s="22">
        <v>0</v>
      </c>
      <c r="G203" s="107"/>
      <c r="H203" s="108">
        <v>0</v>
      </c>
      <c r="I203" s="22">
        <v>0</v>
      </c>
      <c r="J203" s="195">
        <f t="shared" si="13"/>
        <v>0</v>
      </c>
      <c r="K203" s="196"/>
      <c r="L203" s="196"/>
    </row>
    <row r="204" spans="1:12" ht="15.75">
      <c r="A204" s="207" t="s">
        <v>130</v>
      </c>
      <c r="B204" s="207"/>
      <c r="C204" s="19">
        <v>0</v>
      </c>
      <c r="D204" s="20">
        <v>0</v>
      </c>
      <c r="E204" s="21">
        <f>H204</f>
        <v>0</v>
      </c>
      <c r="F204" s="22">
        <v>0</v>
      </c>
      <c r="G204" s="107"/>
      <c r="H204" s="108">
        <v>0</v>
      </c>
      <c r="I204" s="22">
        <v>0</v>
      </c>
      <c r="J204" s="195">
        <f t="shared" si="13"/>
        <v>0</v>
      </c>
      <c r="K204" s="196"/>
      <c r="L204" s="196"/>
    </row>
    <row r="205" spans="1:12" ht="15.75">
      <c r="A205" s="218" t="s">
        <v>131</v>
      </c>
      <c r="B205" s="218"/>
      <c r="C205" s="67">
        <v>0</v>
      </c>
      <c r="D205" s="29">
        <v>0</v>
      </c>
      <c r="E205" s="28">
        <f>H205</f>
        <v>0</v>
      </c>
      <c r="F205" s="30">
        <v>0</v>
      </c>
      <c r="G205" s="121"/>
      <c r="H205" s="122">
        <v>0</v>
      </c>
      <c r="I205" s="30">
        <v>0</v>
      </c>
      <c r="J205" s="205">
        <f t="shared" si="13"/>
        <v>0</v>
      </c>
      <c r="K205" s="206"/>
      <c r="L205" s="206"/>
    </row>
    <row r="206" spans="1:12" ht="15.75" customHeight="1">
      <c r="A206" s="52"/>
      <c r="B206" s="53"/>
      <c r="C206" s="53"/>
      <c r="D206" s="54"/>
      <c r="E206" s="84"/>
      <c r="F206" s="53"/>
      <c r="G206" s="84"/>
      <c r="H206" s="219"/>
      <c r="I206" s="219"/>
      <c r="J206" s="57"/>
      <c r="K206" s="219"/>
      <c r="L206" s="219"/>
    </row>
    <row r="207" spans="1:12" ht="21.75" customHeight="1">
      <c r="A207" s="211" t="s">
        <v>18</v>
      </c>
      <c r="B207" s="85" t="s">
        <v>15</v>
      </c>
      <c r="C207" s="85" t="s">
        <v>15</v>
      </c>
      <c r="D207" s="214" t="s">
        <v>16</v>
      </c>
      <c r="E207" s="215"/>
      <c r="F207" s="201" t="s">
        <v>73</v>
      </c>
      <c r="G207" s="214" t="s">
        <v>17</v>
      </c>
      <c r="H207" s="295"/>
      <c r="I207" s="201" t="s">
        <v>73</v>
      </c>
      <c r="J207" s="298" t="s">
        <v>78</v>
      </c>
      <c r="K207" s="261" t="s">
        <v>144</v>
      </c>
      <c r="L207" s="262"/>
    </row>
    <row r="208" spans="1:12" ht="18" customHeight="1">
      <c r="A208" s="212"/>
      <c r="B208" s="86" t="s">
        <v>5</v>
      </c>
      <c r="C208" s="86" t="s">
        <v>6</v>
      </c>
      <c r="D208" s="87" t="s">
        <v>79</v>
      </c>
      <c r="E208" s="87" t="s">
        <v>80</v>
      </c>
      <c r="F208" s="202"/>
      <c r="G208" s="87" t="s">
        <v>79</v>
      </c>
      <c r="H208" s="296" t="s">
        <v>143</v>
      </c>
      <c r="I208" s="202"/>
      <c r="J208" s="299"/>
      <c r="K208" s="263"/>
      <c r="L208" s="264"/>
    </row>
    <row r="209" spans="1:12" ht="14.25" customHeight="1">
      <c r="A209" s="212"/>
      <c r="B209" s="86"/>
      <c r="C209" s="86"/>
      <c r="D209" s="88" t="s">
        <v>81</v>
      </c>
      <c r="E209" s="88" t="s">
        <v>81</v>
      </c>
      <c r="F209" s="202"/>
      <c r="G209" s="88" t="s">
        <v>81</v>
      </c>
      <c r="H209" s="297"/>
      <c r="I209" s="202"/>
      <c r="J209" s="299"/>
      <c r="K209" s="263"/>
      <c r="L209" s="264"/>
    </row>
    <row r="210" spans="1:12" ht="42" customHeight="1">
      <c r="A210" s="213"/>
      <c r="B210" s="89" t="s">
        <v>19</v>
      </c>
      <c r="C210" s="89" t="s">
        <v>20</v>
      </c>
      <c r="D210" s="89"/>
      <c r="E210" s="89" t="s">
        <v>82</v>
      </c>
      <c r="F210" s="90" t="s">
        <v>83</v>
      </c>
      <c r="G210" s="89"/>
      <c r="H210" s="89" t="s">
        <v>21</v>
      </c>
      <c r="I210" s="106" t="s">
        <v>84</v>
      </c>
      <c r="J210" s="89" t="s">
        <v>22</v>
      </c>
      <c r="K210" s="265"/>
      <c r="L210" s="266"/>
    </row>
    <row r="211" spans="1:12" s="3" customFormat="1" ht="15.75">
      <c r="A211" s="154" t="s">
        <v>68</v>
      </c>
      <c r="B211" s="170">
        <f>B212+B216</f>
        <v>6040339444</v>
      </c>
      <c r="C211" s="170">
        <f>C212+C216</f>
        <v>5992789520.6</v>
      </c>
      <c r="D211" s="170">
        <f>D212+D216</f>
        <v>826472854.1300001</v>
      </c>
      <c r="E211" s="170">
        <f>E212+E216</f>
        <v>4628939565.799999</v>
      </c>
      <c r="F211" s="170">
        <f>C211-E211</f>
        <v>1363849954.8000011</v>
      </c>
      <c r="G211" s="170">
        <f>G212+G216</f>
        <v>980628682.8199997</v>
      </c>
      <c r="H211" s="175">
        <f>H212+H216</f>
        <v>4610164328.669999</v>
      </c>
      <c r="I211" s="179">
        <f aca="true" t="shared" si="15" ref="I211:I219">C211-H211</f>
        <v>1382625191.9300013</v>
      </c>
      <c r="J211" s="134">
        <f>J212+J216</f>
        <v>4313769751.5199995</v>
      </c>
      <c r="K211" s="216">
        <f>K212+K216</f>
        <v>18775237.130000353</v>
      </c>
      <c r="L211" s="217"/>
    </row>
    <row r="212" spans="1:12" s="3" customFormat="1" ht="15.75">
      <c r="A212" s="154" t="s">
        <v>59</v>
      </c>
      <c r="B212" s="170">
        <f>SUM(B213:B215)</f>
        <v>6040098064</v>
      </c>
      <c r="C212" s="170">
        <f>SUM(C213:C215)</f>
        <v>5992548140.6</v>
      </c>
      <c r="D212" s="170">
        <f>SUM(D213:D215)</f>
        <v>826437005.0800002</v>
      </c>
      <c r="E212" s="170">
        <f>SUM(E213:E215)</f>
        <v>4628801544.4</v>
      </c>
      <c r="F212" s="170">
        <f aca="true" t="shared" si="16" ref="F212:F219">C212-E212</f>
        <v>1363746596.2000008</v>
      </c>
      <c r="G212" s="170">
        <f>SUM(G213:G215)</f>
        <v>980592833.7699997</v>
      </c>
      <c r="H212" s="176">
        <f>SUM(H213:H215)</f>
        <v>4610026307.2699995</v>
      </c>
      <c r="I212" s="166">
        <f t="shared" si="15"/>
        <v>1382521833.3300009</v>
      </c>
      <c r="J212" s="134">
        <f>SUM(J213:J215)</f>
        <v>4313631730.12</v>
      </c>
      <c r="K212" s="216">
        <f>SUM(K213:L215)</f>
        <v>18775237.130000353</v>
      </c>
      <c r="L212" s="217"/>
    </row>
    <row r="213" spans="1:12" s="3" customFormat="1" ht="15.75" customHeight="1">
      <c r="A213" s="155" t="s">
        <v>60</v>
      </c>
      <c r="B213" s="168">
        <v>4098276006</v>
      </c>
      <c r="C213" s="168">
        <v>3524954040.46</v>
      </c>
      <c r="D213" s="168">
        <f>E213-2242920556.91</f>
        <v>566730750.3400002</v>
      </c>
      <c r="E213" s="168">
        <v>2809651307.25</v>
      </c>
      <c r="F213" s="168">
        <f t="shared" si="16"/>
        <v>715302733.21</v>
      </c>
      <c r="G213" s="168">
        <f>H213-2143756210.28</f>
        <v>653367349.1299999</v>
      </c>
      <c r="H213" s="177">
        <v>2797123559.41</v>
      </c>
      <c r="I213" s="165">
        <f t="shared" si="15"/>
        <v>727830481.0500002</v>
      </c>
      <c r="J213" s="135">
        <v>2549005035.29</v>
      </c>
      <c r="K213" s="203">
        <f>E213-H213</f>
        <v>12527747.840000153</v>
      </c>
      <c r="L213" s="204"/>
    </row>
    <row r="214" spans="1:12" s="3" customFormat="1" ht="15.75" customHeight="1">
      <c r="A214" s="160" t="s">
        <v>141</v>
      </c>
      <c r="B214" s="43">
        <v>0</v>
      </c>
      <c r="C214" s="43">
        <v>0</v>
      </c>
      <c r="D214" s="43">
        <v>0</v>
      </c>
      <c r="E214" s="43">
        <v>0</v>
      </c>
      <c r="F214" s="43">
        <f t="shared" si="16"/>
        <v>0</v>
      </c>
      <c r="G214" s="43">
        <v>0</v>
      </c>
      <c r="H214" s="104">
        <v>0</v>
      </c>
      <c r="I214" s="101">
        <f t="shared" si="15"/>
        <v>0</v>
      </c>
      <c r="J214" s="20">
        <v>0</v>
      </c>
      <c r="K214" s="199">
        <f>E214-H214</f>
        <v>0</v>
      </c>
      <c r="L214" s="200"/>
    </row>
    <row r="215" spans="1:12" s="3" customFormat="1" ht="15.75" customHeight="1">
      <c r="A215" s="155" t="s">
        <v>62</v>
      </c>
      <c r="B215" s="168">
        <v>1941822058</v>
      </c>
      <c r="C215" s="168">
        <v>2467594100.14</v>
      </c>
      <c r="D215" s="168">
        <f>E215-1559443982.41</f>
        <v>259706254.74</v>
      </c>
      <c r="E215" s="168">
        <v>1819150237.15</v>
      </c>
      <c r="F215" s="168">
        <f t="shared" si="16"/>
        <v>648443862.9899998</v>
      </c>
      <c r="G215" s="168">
        <f>H215-1485677263.22</f>
        <v>327225484.63999987</v>
      </c>
      <c r="H215" s="177">
        <v>1812902747.86</v>
      </c>
      <c r="I215" s="165">
        <f t="shared" si="15"/>
        <v>654691352.28</v>
      </c>
      <c r="J215" s="135">
        <v>1764626694.83</v>
      </c>
      <c r="K215" s="203">
        <f>E215-H215</f>
        <v>6247489.2900002</v>
      </c>
      <c r="L215" s="204"/>
    </row>
    <row r="216" spans="1:12" s="3" customFormat="1" ht="15.75" customHeight="1">
      <c r="A216" s="154" t="s">
        <v>63</v>
      </c>
      <c r="B216" s="170">
        <f>B217+B218+B219</f>
        <v>241380</v>
      </c>
      <c r="C216" s="170">
        <f>C217+C218+C219</f>
        <v>241380</v>
      </c>
      <c r="D216" s="170">
        <f>D217+D218+D219</f>
        <v>35849.04999999999</v>
      </c>
      <c r="E216" s="170">
        <f>E217+E218+E219</f>
        <v>138021.4</v>
      </c>
      <c r="F216" s="170">
        <f t="shared" si="16"/>
        <v>103358.6</v>
      </c>
      <c r="G216" s="170">
        <f>G217+G218+G219</f>
        <v>35849.04999999999</v>
      </c>
      <c r="H216" s="176">
        <f>H217+H218+H219</f>
        <v>138021.4</v>
      </c>
      <c r="I216" s="166">
        <f t="shared" si="15"/>
        <v>103358.6</v>
      </c>
      <c r="J216" s="134">
        <f>SUM(J217:J219)</f>
        <v>138021.4</v>
      </c>
      <c r="K216" s="209">
        <f>K217+K218+K219</f>
        <v>0</v>
      </c>
      <c r="L216" s="210"/>
    </row>
    <row r="217" spans="1:12" s="3" customFormat="1" ht="15.75" customHeight="1">
      <c r="A217" s="155" t="s">
        <v>64</v>
      </c>
      <c r="B217" s="43">
        <v>0</v>
      </c>
      <c r="C217" s="43">
        <v>0</v>
      </c>
      <c r="D217" s="43">
        <f>E217-0</f>
        <v>0</v>
      </c>
      <c r="E217" s="43">
        <v>0</v>
      </c>
      <c r="F217" s="43">
        <f t="shared" si="16"/>
        <v>0</v>
      </c>
      <c r="G217" s="20">
        <f>H217-0</f>
        <v>0</v>
      </c>
      <c r="H217" s="104">
        <v>0</v>
      </c>
      <c r="I217" s="104">
        <f t="shared" si="15"/>
        <v>0</v>
      </c>
      <c r="J217" s="20">
        <v>0</v>
      </c>
      <c r="K217" s="200">
        <f>E217-H217</f>
        <v>0</v>
      </c>
      <c r="L217" s="200"/>
    </row>
    <row r="218" spans="1:12" s="3" customFormat="1" ht="15.75" customHeight="1">
      <c r="A218" s="155" t="s">
        <v>65</v>
      </c>
      <c r="B218" s="43">
        <v>0</v>
      </c>
      <c r="C218" s="43">
        <v>0</v>
      </c>
      <c r="D218" s="43">
        <f>E218-0</f>
        <v>0</v>
      </c>
      <c r="E218" s="168"/>
      <c r="F218" s="43">
        <f t="shared" si="16"/>
        <v>0</v>
      </c>
      <c r="G218" s="20">
        <f>H218-0</f>
        <v>0</v>
      </c>
      <c r="H218" s="104">
        <v>0</v>
      </c>
      <c r="I218" s="101">
        <f t="shared" si="15"/>
        <v>0</v>
      </c>
      <c r="J218" s="20">
        <v>0</v>
      </c>
      <c r="K218" s="199">
        <f>E218-H218</f>
        <v>0</v>
      </c>
      <c r="L218" s="200"/>
    </row>
    <row r="219" spans="1:12" s="3" customFormat="1" ht="15.75" customHeight="1">
      <c r="A219" s="161" t="s">
        <v>66</v>
      </c>
      <c r="B219" s="181">
        <v>241380</v>
      </c>
      <c r="C219" s="181">
        <v>241380</v>
      </c>
      <c r="D219" s="181">
        <f>E219-102172.35</f>
        <v>35849.04999999999</v>
      </c>
      <c r="E219" s="181">
        <v>138021.4</v>
      </c>
      <c r="F219" s="181">
        <f t="shared" si="16"/>
        <v>103358.6</v>
      </c>
      <c r="G219" s="181">
        <f>H219-102172.35</f>
        <v>35849.04999999999</v>
      </c>
      <c r="H219" s="182">
        <v>138021.4</v>
      </c>
      <c r="I219" s="183">
        <f t="shared" si="15"/>
        <v>103358.6</v>
      </c>
      <c r="J219" s="142">
        <v>138021.4</v>
      </c>
      <c r="K219" s="221">
        <f>E219-H219</f>
        <v>0</v>
      </c>
      <c r="L219" s="222"/>
    </row>
    <row r="220" spans="1:12" s="3" customFormat="1" ht="15.75">
      <c r="A220" s="152" t="s">
        <v>138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9" t="s">
        <v>100</v>
      </c>
    </row>
    <row r="221" spans="1:12" s="3" customFormat="1" ht="15.75" customHeight="1">
      <c r="A221" s="124" t="s">
        <v>148</v>
      </c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7"/>
    </row>
    <row r="222" spans="1:12" s="3" customFormat="1" ht="15.75" customHeight="1">
      <c r="A222" s="125" t="s">
        <v>149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8"/>
    </row>
    <row r="223" spans="1:12" s="3" customFormat="1" ht="15.75" customHeight="1">
      <c r="A223" s="220" t="s">
        <v>150</v>
      </c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</row>
    <row r="224" spans="1:12" s="3" customFormat="1" ht="15.75" customHeight="1">
      <c r="A224" s="294" t="s">
        <v>151</v>
      </c>
      <c r="B224" s="294"/>
      <c r="C224" s="294"/>
      <c r="D224" s="294"/>
      <c r="E224" s="294"/>
      <c r="F224" s="294"/>
      <c r="G224" s="294"/>
      <c r="H224" s="294"/>
      <c r="I224" s="294"/>
      <c r="J224" s="294"/>
      <c r="K224" s="294"/>
      <c r="L224" s="294"/>
    </row>
    <row r="225" spans="1:12" s="3" customFormat="1" ht="15.75" customHeight="1">
      <c r="A225" s="75"/>
      <c r="B225" s="75"/>
      <c r="C225" s="91"/>
      <c r="D225" s="75"/>
      <c r="E225" s="92"/>
      <c r="F225" s="75"/>
      <c r="G225" s="92"/>
      <c r="H225" s="75"/>
      <c r="I225" s="75"/>
      <c r="J225" s="75"/>
      <c r="K225" s="75"/>
      <c r="L225" s="75"/>
    </row>
    <row r="226" spans="1:12" s="3" customFormat="1" ht="15.75" customHeight="1">
      <c r="A226" s="70"/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</row>
    <row r="227" spans="1:13" s="3" customFormat="1" ht="15.75" customHeight="1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</row>
    <row r="228" spans="1:12" s="3" customFormat="1" ht="15.75" customHeight="1">
      <c r="A228" s="74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1:12" s="3" customFormat="1" ht="15.75" customHeight="1">
      <c r="A229" s="74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</row>
    <row r="230" spans="1:12" s="3" customFormat="1" ht="15.7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</row>
    <row r="231" spans="1:12" s="3" customFormat="1" ht="15.7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</row>
    <row r="232" spans="1:12" s="3" customFormat="1" ht="15.75" customHeight="1">
      <c r="A232" s="292" t="s">
        <v>101</v>
      </c>
      <c r="B232" s="292"/>
      <c r="C232" s="292" t="s">
        <v>95</v>
      </c>
      <c r="D232" s="292"/>
      <c r="E232" s="292"/>
      <c r="F232" s="292"/>
      <c r="G232" s="293" t="s">
        <v>135</v>
      </c>
      <c r="H232" s="293"/>
      <c r="I232" s="293"/>
      <c r="J232" s="293"/>
      <c r="K232" s="293"/>
      <c r="L232" s="70"/>
    </row>
    <row r="233" spans="1:12" s="3" customFormat="1" ht="15.75" customHeight="1">
      <c r="A233" s="292" t="s">
        <v>94</v>
      </c>
      <c r="B233" s="292"/>
      <c r="C233" s="292" t="s">
        <v>96</v>
      </c>
      <c r="D233" s="292"/>
      <c r="E233" s="292"/>
      <c r="F233" s="292"/>
      <c r="G233" s="293" t="s">
        <v>136</v>
      </c>
      <c r="H233" s="293"/>
      <c r="I233" s="293"/>
      <c r="J233" s="293"/>
      <c r="K233" s="293"/>
      <c r="L233" s="70"/>
    </row>
    <row r="234" spans="1:12" s="3" customFormat="1" ht="15.75" customHeight="1">
      <c r="A234" s="292" t="s">
        <v>93</v>
      </c>
      <c r="B234" s="292"/>
      <c r="C234" s="292" t="s">
        <v>97</v>
      </c>
      <c r="D234" s="292"/>
      <c r="E234" s="292"/>
      <c r="F234" s="292"/>
      <c r="G234" s="293" t="s">
        <v>137</v>
      </c>
      <c r="H234" s="293"/>
      <c r="I234" s="293"/>
      <c r="J234" s="293"/>
      <c r="K234" s="293"/>
      <c r="L234" s="70"/>
    </row>
    <row r="235" spans="1:12" ht="15.75" customHeight="1">
      <c r="A235" s="75"/>
      <c r="B235" s="75"/>
      <c r="C235" s="75"/>
      <c r="D235" s="75"/>
      <c r="E235" s="75"/>
      <c r="F235" s="75"/>
      <c r="G235" s="76"/>
      <c r="H235" s="76"/>
      <c r="I235" s="76"/>
      <c r="J235" s="76"/>
      <c r="K235" s="76"/>
      <c r="L235" s="75"/>
    </row>
    <row r="236" spans="1:12" ht="11.2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</row>
    <row r="237" spans="1:12" ht="11.2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</row>
    <row r="238" spans="1:12" ht="11.2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</row>
    <row r="239" spans="1:12" ht="11.2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</row>
    <row r="240" spans="1:12" ht="11.2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</row>
    <row r="241" spans="1:12" ht="11.2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</row>
    <row r="242" spans="1:12" ht="11.2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</row>
    <row r="243" spans="1:12" ht="11.2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</row>
    <row r="244" spans="1:12" ht="11.2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</row>
    <row r="245" spans="1:12" ht="11.2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</row>
    <row r="246" spans="1:12" ht="11.2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</row>
  </sheetData>
  <sheetProtection/>
  <mergeCells count="375">
    <mergeCell ref="K104:L104"/>
    <mergeCell ref="K106:L106"/>
    <mergeCell ref="K105:L105"/>
    <mergeCell ref="K107:L107"/>
    <mergeCell ref="A135:L135"/>
    <mergeCell ref="K121:L121"/>
    <mergeCell ref="K122:L122"/>
    <mergeCell ref="K123:L123"/>
    <mergeCell ref="K125:L125"/>
    <mergeCell ref="A133:L133"/>
    <mergeCell ref="N92:Q96"/>
    <mergeCell ref="J73:L73"/>
    <mergeCell ref="A66:B66"/>
    <mergeCell ref="J66:L66"/>
    <mergeCell ref="A233:B233"/>
    <mergeCell ref="A77:B77"/>
    <mergeCell ref="J77:L77"/>
    <mergeCell ref="J82:L82"/>
    <mergeCell ref="A82:B82"/>
    <mergeCell ref="J97:J99"/>
    <mergeCell ref="C232:F232"/>
    <mergeCell ref="C233:F233"/>
    <mergeCell ref="C234:F234"/>
    <mergeCell ref="A224:L224"/>
    <mergeCell ref="A232:B232"/>
    <mergeCell ref="A68:B68"/>
    <mergeCell ref="G207:H207"/>
    <mergeCell ref="H208:H209"/>
    <mergeCell ref="J207:J209"/>
    <mergeCell ref="K207:L210"/>
    <mergeCell ref="C14:C16"/>
    <mergeCell ref="E14:I14"/>
    <mergeCell ref="J15:L15"/>
    <mergeCell ref="G16:H16"/>
    <mergeCell ref="J16:L16"/>
    <mergeCell ref="A234:B234"/>
    <mergeCell ref="K214:L214"/>
    <mergeCell ref="G232:K232"/>
    <mergeCell ref="G233:K233"/>
    <mergeCell ref="G234:K234"/>
    <mergeCell ref="A14:B16"/>
    <mergeCell ref="A18:B18"/>
    <mergeCell ref="J14:L14"/>
    <mergeCell ref="G15:H15"/>
    <mergeCell ref="A19:B19"/>
    <mergeCell ref="A6:L6"/>
    <mergeCell ref="A7:L7"/>
    <mergeCell ref="A8:L8"/>
    <mergeCell ref="A9:L9"/>
    <mergeCell ref="A10:L10"/>
    <mergeCell ref="J19:L19"/>
    <mergeCell ref="A17:B17"/>
    <mergeCell ref="A20:B20"/>
    <mergeCell ref="J20:L20"/>
    <mergeCell ref="J17:L17"/>
    <mergeCell ref="J18:L18"/>
    <mergeCell ref="J22:L22"/>
    <mergeCell ref="J30:L30"/>
    <mergeCell ref="A21:B21"/>
    <mergeCell ref="J21:L21"/>
    <mergeCell ref="A23:B23"/>
    <mergeCell ref="A28:B28"/>
    <mergeCell ref="J23:L23"/>
    <mergeCell ref="A22:B22"/>
    <mergeCell ref="J25:L25"/>
    <mergeCell ref="A24:B24"/>
    <mergeCell ref="J24:L24"/>
    <mergeCell ref="A33:B33"/>
    <mergeCell ref="J33:L33"/>
    <mergeCell ref="A27:B27"/>
    <mergeCell ref="A26:B26"/>
    <mergeCell ref="A30:B30"/>
    <mergeCell ref="A31:B31"/>
    <mergeCell ref="A29:B29"/>
    <mergeCell ref="J29:L29"/>
    <mergeCell ref="J26:L26"/>
    <mergeCell ref="J31:L31"/>
    <mergeCell ref="A34:B34"/>
    <mergeCell ref="J34:L34"/>
    <mergeCell ref="A32:B32"/>
    <mergeCell ref="J32:L32"/>
    <mergeCell ref="A25:B25"/>
    <mergeCell ref="J27:L27"/>
    <mergeCell ref="J28:L28"/>
    <mergeCell ref="A37:B37"/>
    <mergeCell ref="J37:L37"/>
    <mergeCell ref="A35:B35"/>
    <mergeCell ref="J35:L35"/>
    <mergeCell ref="A36:B36"/>
    <mergeCell ref="J36:L36"/>
    <mergeCell ref="J39:L39"/>
    <mergeCell ref="A39:B39"/>
    <mergeCell ref="A38:B38"/>
    <mergeCell ref="A44:B44"/>
    <mergeCell ref="J44:L44"/>
    <mergeCell ref="J43:L43"/>
    <mergeCell ref="J38:L38"/>
    <mergeCell ref="J40:L40"/>
    <mergeCell ref="A40:B40"/>
    <mergeCell ref="A45:B45"/>
    <mergeCell ref="J45:L45"/>
    <mergeCell ref="A46:B46"/>
    <mergeCell ref="J41:L41"/>
    <mergeCell ref="A48:B48"/>
    <mergeCell ref="J48:L48"/>
    <mergeCell ref="A47:B47"/>
    <mergeCell ref="J47:L47"/>
    <mergeCell ref="J46:L46"/>
    <mergeCell ref="J42:L42"/>
    <mergeCell ref="J57:L57"/>
    <mergeCell ref="J54:L54"/>
    <mergeCell ref="A57:B57"/>
    <mergeCell ref="J49:L49"/>
    <mergeCell ref="A53:B53"/>
    <mergeCell ref="J53:L53"/>
    <mergeCell ref="J56:L56"/>
    <mergeCell ref="J52:L52"/>
    <mergeCell ref="J55:L55"/>
    <mergeCell ref="A54:B54"/>
    <mergeCell ref="J71:L71"/>
    <mergeCell ref="J72:L72"/>
    <mergeCell ref="A63:B63"/>
    <mergeCell ref="A64:B64"/>
    <mergeCell ref="A61:B61"/>
    <mergeCell ref="J61:L61"/>
    <mergeCell ref="A62:B62"/>
    <mergeCell ref="J63:L63"/>
    <mergeCell ref="A67:B67"/>
    <mergeCell ref="J67:L67"/>
    <mergeCell ref="A69:B69"/>
    <mergeCell ref="J69:L69"/>
    <mergeCell ref="A70:B70"/>
    <mergeCell ref="J68:L68"/>
    <mergeCell ref="J70:L70"/>
    <mergeCell ref="J76:L76"/>
    <mergeCell ref="A76:B76"/>
    <mergeCell ref="A75:B75"/>
    <mergeCell ref="J74:L74"/>
    <mergeCell ref="J75:L75"/>
    <mergeCell ref="A86:B86"/>
    <mergeCell ref="A85:B85"/>
    <mergeCell ref="J79:L79"/>
    <mergeCell ref="J85:L85"/>
    <mergeCell ref="A83:B83"/>
    <mergeCell ref="J83:L83"/>
    <mergeCell ref="J86:L86"/>
    <mergeCell ref="J78:L78"/>
    <mergeCell ref="J84:L84"/>
    <mergeCell ref="A79:B79"/>
    <mergeCell ref="A81:B81"/>
    <mergeCell ref="A84:B84"/>
    <mergeCell ref="J80:L80"/>
    <mergeCell ref="A78:B78"/>
    <mergeCell ref="A80:B80"/>
    <mergeCell ref="J81:L81"/>
    <mergeCell ref="A90:B90"/>
    <mergeCell ref="J90:L90"/>
    <mergeCell ref="A87:B87"/>
    <mergeCell ref="J87:L87"/>
    <mergeCell ref="A89:B89"/>
    <mergeCell ref="J89:L89"/>
    <mergeCell ref="A88:B88"/>
    <mergeCell ref="J88:L88"/>
    <mergeCell ref="A91:B91"/>
    <mergeCell ref="J91:L91"/>
    <mergeCell ref="J93:L93"/>
    <mergeCell ref="J92:L92"/>
    <mergeCell ref="A92:B92"/>
    <mergeCell ref="A93:B93"/>
    <mergeCell ref="A95:B95"/>
    <mergeCell ref="A94:B94"/>
    <mergeCell ref="A97:A100"/>
    <mergeCell ref="D97:E97"/>
    <mergeCell ref="J94:L94"/>
    <mergeCell ref="J95:L95"/>
    <mergeCell ref="G97:H97"/>
    <mergeCell ref="K97:L100"/>
    <mergeCell ref="K101:L101"/>
    <mergeCell ref="K102:L102"/>
    <mergeCell ref="K103:L103"/>
    <mergeCell ref="K114:L114"/>
    <mergeCell ref="K108:L108"/>
    <mergeCell ref="K112:L112"/>
    <mergeCell ref="K109:L109"/>
    <mergeCell ref="K110:L110"/>
    <mergeCell ref="K111:L111"/>
    <mergeCell ref="K113:L113"/>
    <mergeCell ref="K119:L119"/>
    <mergeCell ref="K124:L124"/>
    <mergeCell ref="K120:L120"/>
    <mergeCell ref="K115:L115"/>
    <mergeCell ref="K116:L116"/>
    <mergeCell ref="K117:L117"/>
    <mergeCell ref="G141:H141"/>
    <mergeCell ref="J141:L141"/>
    <mergeCell ref="A131:L131"/>
    <mergeCell ref="A132:L132"/>
    <mergeCell ref="J139:L139"/>
    <mergeCell ref="K118:L118"/>
    <mergeCell ref="C139:C141"/>
    <mergeCell ref="E139:I139"/>
    <mergeCell ref="G140:H140"/>
    <mergeCell ref="J140:L140"/>
    <mergeCell ref="A143:B143"/>
    <mergeCell ref="J143:L143"/>
    <mergeCell ref="A144:B144"/>
    <mergeCell ref="J144:L144"/>
    <mergeCell ref="A142:B142"/>
    <mergeCell ref="J142:L142"/>
    <mergeCell ref="J148:L148"/>
    <mergeCell ref="A149:B149"/>
    <mergeCell ref="J149:L149"/>
    <mergeCell ref="A145:B145"/>
    <mergeCell ref="J145:L145"/>
    <mergeCell ref="A146:B146"/>
    <mergeCell ref="J146:L146"/>
    <mergeCell ref="J154:L154"/>
    <mergeCell ref="A155:B155"/>
    <mergeCell ref="J155:L155"/>
    <mergeCell ref="J150:L150"/>
    <mergeCell ref="A153:B153"/>
    <mergeCell ref="J153:L153"/>
    <mergeCell ref="J151:L151"/>
    <mergeCell ref="J152:L152"/>
    <mergeCell ref="A151:B151"/>
    <mergeCell ref="J158:L158"/>
    <mergeCell ref="A159:B159"/>
    <mergeCell ref="J159:L159"/>
    <mergeCell ref="A156:B156"/>
    <mergeCell ref="J156:L156"/>
    <mergeCell ref="A157:B157"/>
    <mergeCell ref="J157:L157"/>
    <mergeCell ref="J165:L165"/>
    <mergeCell ref="A160:B160"/>
    <mergeCell ref="J160:L160"/>
    <mergeCell ref="A161:B161"/>
    <mergeCell ref="J162:L162"/>
    <mergeCell ref="A162:B162"/>
    <mergeCell ref="J161:L161"/>
    <mergeCell ref="A165:B165"/>
    <mergeCell ref="J65:L65"/>
    <mergeCell ref="J64:L64"/>
    <mergeCell ref="J62:L62"/>
    <mergeCell ref="J60:L60"/>
    <mergeCell ref="A60:B60"/>
    <mergeCell ref="J58:L58"/>
    <mergeCell ref="A58:B58"/>
    <mergeCell ref="A59:B59"/>
    <mergeCell ref="J59:L59"/>
    <mergeCell ref="J172:L172"/>
    <mergeCell ref="A169:B169"/>
    <mergeCell ref="J169:L169"/>
    <mergeCell ref="J170:L170"/>
    <mergeCell ref="A172:B172"/>
    <mergeCell ref="A152:B152"/>
    <mergeCell ref="A163:B163"/>
    <mergeCell ref="J163:L163"/>
    <mergeCell ref="A164:B164"/>
    <mergeCell ref="A167:B167"/>
    <mergeCell ref="J171:L171"/>
    <mergeCell ref="J50:L50"/>
    <mergeCell ref="J51:L51"/>
    <mergeCell ref="J164:L164"/>
    <mergeCell ref="A147:B147"/>
    <mergeCell ref="J147:L147"/>
    <mergeCell ref="A51:B51"/>
    <mergeCell ref="A52:B52"/>
    <mergeCell ref="A74:B74"/>
    <mergeCell ref="A166:B166"/>
    <mergeCell ref="J179:L179"/>
    <mergeCell ref="A55:B55"/>
    <mergeCell ref="A56:B56"/>
    <mergeCell ref="A65:B65"/>
    <mergeCell ref="A71:B71"/>
    <mergeCell ref="A72:B72"/>
    <mergeCell ref="J173:L173"/>
    <mergeCell ref="A170:B170"/>
    <mergeCell ref="J174:L174"/>
    <mergeCell ref="A73:B73"/>
    <mergeCell ref="A178:B178"/>
    <mergeCell ref="J178:L178"/>
    <mergeCell ref="A175:B175"/>
    <mergeCell ref="A176:B176"/>
    <mergeCell ref="A177:B177"/>
    <mergeCell ref="J177:L177"/>
    <mergeCell ref="J186:L186"/>
    <mergeCell ref="J184:L184"/>
    <mergeCell ref="J182:L182"/>
    <mergeCell ref="A41:B41"/>
    <mergeCell ref="A42:B42"/>
    <mergeCell ref="A43:B43"/>
    <mergeCell ref="A49:B49"/>
    <mergeCell ref="A50:B50"/>
    <mergeCell ref="J175:L175"/>
    <mergeCell ref="J176:L176"/>
    <mergeCell ref="A173:B173"/>
    <mergeCell ref="A174:B174"/>
    <mergeCell ref="A168:B168"/>
    <mergeCell ref="A158:B158"/>
    <mergeCell ref="A150:B150"/>
    <mergeCell ref="A148:B148"/>
    <mergeCell ref="A154:B154"/>
    <mergeCell ref="A139:B141"/>
    <mergeCell ref="A134:L134"/>
    <mergeCell ref="J183:L183"/>
    <mergeCell ref="A184:B184"/>
    <mergeCell ref="A189:B189"/>
    <mergeCell ref="J189:L189"/>
    <mergeCell ref="A185:B185"/>
    <mergeCell ref="A186:B186"/>
    <mergeCell ref="A187:B187"/>
    <mergeCell ref="A183:B183"/>
    <mergeCell ref="J188:L188"/>
    <mergeCell ref="J185:L185"/>
    <mergeCell ref="A223:L223"/>
    <mergeCell ref="K217:L217"/>
    <mergeCell ref="K218:L218"/>
    <mergeCell ref="K219:L219"/>
    <mergeCell ref="A195:B195"/>
    <mergeCell ref="J187:L187"/>
    <mergeCell ref="A188:B188"/>
    <mergeCell ref="A191:B191"/>
    <mergeCell ref="J190:L190"/>
    <mergeCell ref="A203:B203"/>
    <mergeCell ref="K211:L211"/>
    <mergeCell ref="K212:L212"/>
    <mergeCell ref="K213:L213"/>
    <mergeCell ref="K215:L215"/>
    <mergeCell ref="A199:B199"/>
    <mergeCell ref="A205:B205"/>
    <mergeCell ref="H206:I206"/>
    <mergeCell ref="K206:L206"/>
    <mergeCell ref="K216:L216"/>
    <mergeCell ref="A179:B179"/>
    <mergeCell ref="A193:B193"/>
    <mergeCell ref="J197:L197"/>
    <mergeCell ref="A180:B180"/>
    <mergeCell ref="A171:B171"/>
    <mergeCell ref="A207:A210"/>
    <mergeCell ref="D207:E207"/>
    <mergeCell ref="A200:B200"/>
    <mergeCell ref="A204:B204"/>
    <mergeCell ref="A181:B181"/>
    <mergeCell ref="A190:B190"/>
    <mergeCell ref="A192:B192"/>
    <mergeCell ref="A201:B201"/>
    <mergeCell ref="A194:B194"/>
    <mergeCell ref="A202:B202"/>
    <mergeCell ref="A182:B182"/>
    <mergeCell ref="A196:B196"/>
    <mergeCell ref="A197:B197"/>
    <mergeCell ref="A198:B198"/>
    <mergeCell ref="J204:L204"/>
    <mergeCell ref="J205:L205"/>
    <mergeCell ref="J194:L194"/>
    <mergeCell ref="J202:L202"/>
    <mergeCell ref="J198:L198"/>
    <mergeCell ref="J199:L199"/>
    <mergeCell ref="F207:F209"/>
    <mergeCell ref="I207:I209"/>
    <mergeCell ref="F97:F99"/>
    <mergeCell ref="I97:I99"/>
    <mergeCell ref="J166:L166"/>
    <mergeCell ref="J167:L167"/>
    <mergeCell ref="J168:L168"/>
    <mergeCell ref="J180:L180"/>
    <mergeCell ref="J181:L181"/>
    <mergeCell ref="J203:L203"/>
    <mergeCell ref="J192:L192"/>
    <mergeCell ref="J193:L193"/>
    <mergeCell ref="J191:L191"/>
    <mergeCell ref="J201:L201"/>
    <mergeCell ref="J200:L200"/>
    <mergeCell ref="J195:L195"/>
    <mergeCell ref="J196:L196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1" r:id="rId2"/>
  <rowBreaks count="1" manualBreakCount="1">
    <brk id="126" max="11" man="1"/>
  </rowBreaks>
  <ignoredErrors>
    <ignoredError sqref="F114:F116 F119:G119 F101:F103 F215:F216 F211:F213 E148 D119 D216:E216 G216 E58 F75 F80 E76:F76 E82 F91 H90 I211:I212 F77 F78 F79 I114:J114 I119:I122 I101 E187:E190 K216 J91 D107 E166 E192:E194 E195" formula="1"/>
    <ignoredError sqref="B102:C102 C117 K102:L102 B108:E108 K108 L114 L122 L115 B120:C120 B121:C121 L116 L119 D102:E102 C76:D76 C153:D153 C28:D28 C201:D201 H28 H62 H76 H102 H106:J106 H112 H107:H108 J112 J102 H153 H187 I103 I104 I105" formulaRange="1"/>
    <ignoredError sqref="F108:G108 G102 F104:F107 F109:F111 F112 I109:I113 I107:J108 I102 F143 F28:F31 F44:F45 F58:F59 F81:F82 F70:F74 F67:F68 F92 F61:F64 F90 F47" formula="1" formulaRange="1"/>
    <ignoredError sqref="F32 F23:F27 F35:F43 F48:F49 F53:F57 F65:F66 F144:F158 F163:F173 F178:F182 I82:I89 F51 I23:I24 I28:I32 I35:I49 I51 I53:I59 I61:I64 I66:I69 I74 I81 F17:F21 I17:I21 I142:I205 I91 I90 I92 F142" evalError="1"/>
    <ignoredError sqref="F143 F28:F31 F44:F45 F58:F59 F81:F82 F70:F74 F67:F68 F92 F61:F64 F90 F47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2021-01-23T15:17:33Z</cp:lastPrinted>
  <dcterms:created xsi:type="dcterms:W3CDTF">2005-03-07T15:54:32Z</dcterms:created>
  <dcterms:modified xsi:type="dcterms:W3CDTF">2021-01-29T14:48:47Z</dcterms:modified>
  <cp:category/>
  <cp:version/>
  <cp:contentType/>
  <cp:contentStatus/>
</cp:coreProperties>
</file>