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<sst xmlns="http://schemas.openxmlformats.org/spreadsheetml/2006/main" count="283" uniqueCount="149">
  <si>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</si>
  <si>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</si>
  <si>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</si>
  <si>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</si>
  <si>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</si>
  <si>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</si>
  <si>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</si>
  <si>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</si>
  <si>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</si>
  <si>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</si>
  <si>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</si>
  <si>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</si>
  <si>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</si>
  <si>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</si>
  <si>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</si>
  <si>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</si>
  <si>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</si>
  <si>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</si>
  <si>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</si>
  <si>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</si>
  <si>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</si>
  <si>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</si>
  <si>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</si>
  <si>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</si>
  <si>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</si>
  <si>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</si>
  <si>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</si>
  <si>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</si>
  <si>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</si>
  <si>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COM REFINANCIAMENTO (V) = (III + IV)</t>
  </si>
  <si>
    <t>DÉFICIT (VI)</t>
  </si>
  <si>
    <t>TOTAL (VII) = (V + VI)</t>
  </si>
  <si>
    <t>SUBTOTAL DAS DESPESAS (X) = (VIII + IX)</t>
  </si>
  <si>
    <t>TOTAL (XIV) = (XII + XIII)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</si>
  <si>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</si>
  <si>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</si>
  <si>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</si>
  <si>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</si>
  <si>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</si>
  <si>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</si>
  <si>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</si>
  <si>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</si>
  <si>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</si>
  <si>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</si>
  <si>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</si>
  <si>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</si>
  <si>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</si>
  <si>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</si>
  <si>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</si>
  <si>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</si>
  <si>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</si>
  <si>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</si>
  <si>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</si>
  <si>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</si>
  <si>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</si>
  <si>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</si>
  <si>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</si>
  <si>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</si>
  <si>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</si>
  <si>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</si>
  <si>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</si>
  <si>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</si>
  <si>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</si>
  <si>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</si>
  <si>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</si>
  <si>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</si>
  <si>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</si>
  <si>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</si>
  <si>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</si>
  <si>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C/ REFINANCIAMENTO (XII) = (X + XI)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</si>
  <si>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</si>
  <si>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</si>
  <si>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</si>
  <si>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</si>
  <si>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</si>
  <si>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</si>
  <si>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</si>
  <si>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</si>
  <si>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</si>
  <si>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</si>
  <si>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</si>
  <si>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</si>
  <si>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</si>
  <si>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</si>
  <si>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</si>
  <si>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</si>
  <si>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</si>
  <si>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</si>
  <si>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 xml:space="preserve">           Transferências a Municípios</t>
  </si>
  <si>
    <t xml:space="preserve">           Demais Despesas Correntes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</si>
  <si>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</si>
  <si>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</si>
  <si>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</si>
  <si>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</si>
  <si>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</si>
  <si>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</si>
  <si>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</si>
  <si>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</si>
  <si>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</si>
  <si>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</si>
  <si>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</si>
  <si>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</si>
  <si>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</si>
  <si>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</si>
  <si>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</si>
  <si>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</si>
  <si>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</si>
  <si>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</si>
  <si>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</si>
  <si>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</si>
  <si>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</si>
  <si>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</si>
  <si>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</si>
  <si>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</si>
  <si>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</si>
  <si>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</si>
  <si>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</si>
  <si>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</si>
  <si>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</si>
  <si>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</si>
  <si>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</si>
  <si>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</si>
  <si>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</si>
  <si>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</si>
  <si>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</si>
  <si>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</si>
  <si>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</si>
  <si>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</si>
  <si>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</si>
  <si>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</si>
  <si>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</si>
  <si>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</si>
  <si>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</si>
  <si>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</si>
  <si>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</si>
  <si>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</si>
  <si>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</si>
  <si>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</si>
  <si>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</si>
  <si>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</si>
  <si>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</si>
  <si>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</si>
  <si>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</si>
  <si>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</si>
  <si>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</si>
  <si>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  2 - Imprensa Oficial, CEDAE e AGERIO não constam nos Orçamentos Fiscal e da Seguridade Social no exercício de 2020.</t>
  </si>
  <si>
    <t xml:space="preserve">          3 - A diferença de R$ 10.725.391.369,00 (Dez bilhões, setecentos e vinte e cinco milhões, trezentos e noventa e um mil e trezentos e sessenta e nove reais) entre a Previsão Inicial da Receita e a Dotação Inicial da Despesa é referente ao "Déficit do Orçamento" considerado na Lei Orçamentária Anual de 2020.</t>
  </si>
  <si>
    <t>JANEIRO A OUTUBRO 2020/BIMESTRE SETEMBRO-OUTUBRO</t>
  </si>
  <si>
    <t>Emissão: 19/11/2020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</si>
</sst>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 horizontal="center"/>
      <protection/>
    </xf>
    <xf numFmtId="0" fontId="3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8" applyFont="1" applyFill="1" applyAlignment="1">
      <alignment/>
      <protection/>
    </xf>
    <xf numFmtId="172" fontId="3" fillId="0" borderId="0" xfId="48" applyNumberFormat="1" applyFont="1" applyFill="1" applyAlignment="1">
      <alignment/>
      <protection/>
    </xf>
    <xf numFmtId="0" fontId="3" fillId="0" borderId="0" xfId="48" applyFont="1" applyFill="1" applyAlignment="1">
      <alignment horizontal="right"/>
      <protection/>
    </xf>
    <xf numFmtId="167" fontId="3" fillId="0" borderId="0" xfId="48" applyNumberFormat="1" applyFont="1" applyFill="1" applyAlignment="1">
      <alignment horizontal="right"/>
      <protection/>
    </xf>
    <xf numFmtId="169" fontId="1" fillId="33" borderId="10" xfId="64" applyNumberFormat="1" applyFont="1" applyFill="1" applyBorder="1" applyAlignment="1">
      <alignment horizontal="right"/>
    </xf>
    <xf numFmtId="169" fontId="1" fillId="33" borderId="0" xfId="64" applyNumberFormat="1" applyFont="1" applyFill="1" applyAlignment="1">
      <alignment horizontal="right"/>
    </xf>
    <xf numFmtId="180" fontId="1" fillId="33" borderId="10" xfId="63" applyNumberFormat="1" applyFont="1" applyFill="1" applyBorder="1" applyAlignment="1">
      <alignment horizontal="right"/>
    </xf>
    <xf numFmtId="3" fontId="3" fillId="0" borderId="0" xfId="48" applyNumberFormat="1" applyFont="1" applyFill="1" applyAlignment="1">
      <alignment/>
      <protection/>
    </xf>
    <xf numFmtId="180" fontId="1" fillId="33" borderId="11" xfId="63" applyNumberFormat="1" applyFont="1" applyFill="1" applyBorder="1" applyAlignment="1">
      <alignment horizontal="right"/>
    </xf>
    <xf numFmtId="174" fontId="3" fillId="0" borderId="0" xfId="48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1" xfId="63" applyNumberFormat="1" applyFont="1" applyFill="1" applyBorder="1" applyAlignment="1">
      <alignment horizontal="right"/>
    </xf>
    <xf numFmtId="174" fontId="46" fillId="0" borderId="0" xfId="48" applyNumberFormat="1" applyFont="1" applyFill="1" applyAlignment="1">
      <alignment/>
      <protection/>
    </xf>
    <xf numFmtId="169" fontId="3" fillId="0" borderId="0" xfId="48" applyNumberFormat="1" applyFont="1" applyFill="1" applyAlignment="1">
      <alignment/>
      <protection/>
    </xf>
    <xf numFmtId="169" fontId="1" fillId="33" borderId="13" xfId="64" applyNumberFormat="1" applyFont="1" applyFill="1" applyBorder="1" applyAlignment="1">
      <alignment horizontal="right"/>
    </xf>
    <xf numFmtId="180" fontId="1" fillId="33" borderId="14" xfId="63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180" fontId="3" fillId="33" borderId="17" xfId="63" applyNumberFormat="1" applyFont="1" applyFill="1" applyBorder="1" applyAlignment="1">
      <alignment horizontal="right"/>
    </xf>
    <xf numFmtId="180" fontId="1" fillId="33" borderId="17" xfId="63" applyNumberFormat="1" applyFont="1" applyFill="1" applyBorder="1" applyAlignment="1">
      <alignment horizontal="right"/>
    </xf>
    <xf numFmtId="169" fontId="46" fillId="0" borderId="0" xfId="48" applyNumberFormat="1" applyFont="1" applyFill="1" applyAlignment="1">
      <alignment/>
      <protection/>
    </xf>
    <xf numFmtId="169" fontId="1" fillId="33" borderId="14" xfId="63" applyNumberFormat="1" applyFont="1" applyFill="1" applyBorder="1" applyAlignment="1">
      <alignment horizontal="right"/>
    </xf>
    <xf numFmtId="169" fontId="46" fillId="33" borderId="0" xfId="48" applyNumberFormat="1" applyFont="1" applyFill="1" applyAlignment="1">
      <alignment wrapText="1"/>
      <protection/>
    </xf>
    <xf numFmtId="169" fontId="3" fillId="33" borderId="14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 vertical="center"/>
    </xf>
    <xf numFmtId="0" fontId="2" fillId="33" borderId="0" xfId="48" applyFont="1" applyFill="1" applyBorder="1">
      <alignment/>
      <protection/>
    </xf>
    <xf numFmtId="37" fontId="2" fillId="33" borderId="0" xfId="48" applyNumberFormat="1" applyFont="1" applyFill="1" applyBorder="1" applyAlignment="1">
      <alignment horizontal="center"/>
      <protection/>
    </xf>
    <xf numFmtId="0" fontId="2" fillId="33" borderId="0" xfId="48" applyNumberFormat="1" applyFont="1" applyFill="1" applyBorder="1" applyAlignment="1">
      <alignment horizontal="center"/>
      <protection/>
    </xf>
    <xf numFmtId="0" fontId="2" fillId="33" borderId="0" xfId="48" applyFont="1" applyFill="1" applyBorder="1" applyAlignment="1">
      <alignment horizontal="center"/>
      <protection/>
    </xf>
    <xf numFmtId="37" fontId="2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center" vertical="center"/>
      <protection/>
    </xf>
    <xf numFmtId="0" fontId="1" fillId="33" borderId="0" xfId="48" applyNumberFormat="1" applyFont="1" applyFill="1" applyBorder="1" applyAlignment="1">
      <alignment wrapText="1"/>
      <protection/>
    </xf>
    <xf numFmtId="0" fontId="1" fillId="33" borderId="0" xfId="48" applyNumberFormat="1" applyFont="1" applyFill="1" applyBorder="1" applyAlignment="1">
      <alignment/>
      <protection/>
    </xf>
    <xf numFmtId="0" fontId="3" fillId="33" borderId="0" xfId="48" applyNumberFormat="1" applyFont="1" applyFill="1" applyBorder="1" applyAlignment="1">
      <alignment/>
      <protection/>
    </xf>
    <xf numFmtId="169" fontId="3" fillId="33" borderId="18" xfId="64" applyNumberFormat="1" applyFont="1" applyFill="1" applyBorder="1" applyAlignment="1">
      <alignment horizontal="right"/>
    </xf>
    <xf numFmtId="4" fontId="1" fillId="0" borderId="0" xfId="48" applyNumberFormat="1" applyFont="1" applyFill="1" applyAlignment="1">
      <alignment/>
      <protection/>
    </xf>
    <xf numFmtId="4" fontId="3" fillId="0" borderId="0" xfId="48" applyNumberFormat="1" applyFont="1" applyFill="1" applyAlignment="1">
      <alignment/>
      <protection/>
    </xf>
    <xf numFmtId="43" fontId="3" fillId="0" borderId="0" xfId="48" applyNumberFormat="1" applyFont="1" applyFill="1" applyAlignment="1">
      <alignment/>
      <protection/>
    </xf>
    <xf numFmtId="49" fontId="3" fillId="33" borderId="12" xfId="48" applyNumberFormat="1" applyFont="1" applyFill="1" applyBorder="1" applyAlignment="1">
      <alignment/>
      <protection/>
    </xf>
    <xf numFmtId="0" fontId="1" fillId="33" borderId="19" xfId="48" applyNumberFormat="1" applyFont="1" applyFill="1" applyBorder="1" applyAlignment="1">
      <alignment/>
      <protection/>
    </xf>
    <xf numFmtId="169" fontId="1" fillId="33" borderId="20" xfId="64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21" xfId="48" applyNumberFormat="1" applyFont="1" applyFill="1" applyBorder="1" applyAlignment="1">
      <alignment wrapText="1"/>
      <protection/>
    </xf>
    <xf numFmtId="169" fontId="3" fillId="33" borderId="22" xfId="64" applyNumberFormat="1" applyFont="1" applyFill="1" applyBorder="1" applyAlignment="1">
      <alignment horizontal="right"/>
    </xf>
    <xf numFmtId="169" fontId="1" fillId="33" borderId="22" xfId="64" applyNumberFormat="1" applyFont="1" applyFill="1" applyBorder="1" applyAlignment="1">
      <alignment horizontal="right"/>
    </xf>
    <xf numFmtId="171" fontId="3" fillId="0" borderId="0" xfId="63" applyFont="1" applyFill="1" applyAlignment="1">
      <alignment/>
    </xf>
    <xf numFmtId="0" fontId="1" fillId="33" borderId="16" xfId="48" applyNumberFormat="1" applyFont="1" applyFill="1" applyBorder="1" applyAlignment="1">
      <alignment/>
      <protection/>
    </xf>
    <xf numFmtId="0" fontId="6" fillId="33" borderId="0" xfId="48" applyFont="1" applyFill="1" applyBorder="1">
      <alignment/>
      <protection/>
    </xf>
    <xf numFmtId="37" fontId="6" fillId="33" borderId="0" xfId="48" applyNumberFormat="1" applyFont="1" applyFill="1" applyBorder="1" applyAlignment="1">
      <alignment horizontal="center"/>
      <protection/>
    </xf>
    <xf numFmtId="169" fontId="6" fillId="33" borderId="0" xfId="48" applyNumberFormat="1" applyFont="1" applyFill="1" applyBorder="1" applyAlignment="1">
      <alignment horizontal="center"/>
      <protection/>
    </xf>
    <xf numFmtId="37" fontId="6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right" vertical="center"/>
      <protection/>
    </xf>
    <xf numFmtId="49" fontId="4" fillId="33" borderId="0" xfId="48" applyNumberFormat="1" applyFont="1" applyFill="1" applyAlignment="1">
      <alignment horizontal="center"/>
      <protection/>
    </xf>
    <xf numFmtId="0" fontId="4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 horizontal="center"/>
      <protection/>
    </xf>
    <xf numFmtId="0" fontId="3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/>
      <protection/>
    </xf>
    <xf numFmtId="0" fontId="3" fillId="33" borderId="0" xfId="48" applyFont="1" applyFill="1" applyBorder="1" applyAlignment="1">
      <alignment/>
      <protection/>
    </xf>
    <xf numFmtId="167" fontId="3" fillId="33" borderId="0" xfId="48" applyNumberFormat="1" applyFont="1" applyFill="1" applyAlignment="1">
      <alignment horizontal="right"/>
      <protection/>
    </xf>
    <xf numFmtId="0" fontId="3" fillId="33" borderId="0" xfId="48" applyNumberFormat="1" applyFont="1" applyFill="1" applyAlignment="1">
      <alignment/>
      <protection/>
    </xf>
    <xf numFmtId="0" fontId="3" fillId="33" borderId="16" xfId="48" applyNumberFormat="1" applyFont="1" applyFill="1" applyBorder="1" applyAlignment="1">
      <alignment/>
      <protection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8" applyFont="1" applyFill="1" applyBorder="1" applyAlignment="1">
      <alignment horizontal="left" vertical="center"/>
      <protection/>
    </xf>
    <xf numFmtId="169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8" applyFont="1" applyFill="1" applyBorder="1" applyAlignment="1">
      <alignment horizontal="left" vertical="center"/>
      <protection/>
    </xf>
    <xf numFmtId="0" fontId="47" fillId="0" borderId="0" xfId="48" applyFont="1" applyFill="1" applyBorder="1" applyAlignment="1">
      <alignment horizontal="left" vertical="center"/>
      <protection/>
    </xf>
    <xf numFmtId="0" fontId="6" fillId="0" borderId="0" xfId="48" applyNumberFormat="1" applyFont="1" applyFill="1" applyAlignment="1">
      <alignment/>
      <protection/>
    </xf>
    <xf numFmtId="49" fontId="1" fillId="34" borderId="10" xfId="48" applyNumberFormat="1" applyFont="1" applyFill="1" applyBorder="1" applyAlignment="1">
      <alignment horizontal="center" vertical="center" wrapText="1"/>
      <protection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0" xfId="48" applyNumberFormat="1" applyFont="1" applyFill="1" applyBorder="1" applyAlignment="1">
      <alignment horizontal="center"/>
      <protection/>
    </xf>
    <xf numFmtId="49" fontId="1" fillId="34" borderId="17" xfId="48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0" xfId="48" applyNumberFormat="1" applyFont="1" applyFill="1" applyBorder="1" applyAlignment="1">
      <alignment horizontal="center"/>
      <protection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1" xfId="48" applyNumberFormat="1" applyFont="1" applyFill="1" applyBorder="1" applyAlignment="1">
      <alignment horizontal="center" vertical="center"/>
      <protection/>
    </xf>
    <xf numFmtId="0" fontId="1" fillId="34" borderId="11" xfId="48" applyNumberFormat="1" applyFont="1" applyFill="1" applyBorder="1" applyAlignment="1">
      <alignment horizontal="center"/>
      <protection/>
    </xf>
    <xf numFmtId="0" fontId="1" fillId="34" borderId="18" xfId="48" applyNumberFormat="1" applyFont="1" applyFill="1" applyBorder="1" applyAlignment="1">
      <alignment horizontal="center" wrapText="1"/>
      <protection/>
    </xf>
    <xf numFmtId="0" fontId="1" fillId="34" borderId="18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 vertical="center"/>
      <protection/>
    </xf>
    <xf numFmtId="0" fontId="1" fillId="34" borderId="17" xfId="48" applyNumberFormat="1" applyFont="1" applyFill="1" applyBorder="1" applyAlignment="1">
      <alignment horizontal="center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/>
      <protection/>
    </xf>
    <xf numFmtId="178" fontId="6" fillId="0" borderId="0" xfId="48" applyNumberFormat="1" applyFont="1" applyFill="1" applyBorder="1" applyAlignment="1">
      <alignment horizontal="left" vertical="center"/>
      <protection/>
    </xf>
    <xf numFmtId="169" fontId="6" fillId="0" borderId="0" xfId="48" applyNumberFormat="1" applyFont="1" applyFill="1" applyBorder="1" applyAlignment="1">
      <alignment horizontal="left" vertical="center"/>
      <protection/>
    </xf>
    <xf numFmtId="0" fontId="3" fillId="33" borderId="0" xfId="48" applyNumberFormat="1" applyFont="1" applyFill="1" applyBorder="1" applyAlignment="1">
      <alignment horizontal="left" indent="2"/>
      <protection/>
    </xf>
    <xf numFmtId="169" fontId="6" fillId="0" borderId="0" xfId="48" applyNumberFormat="1" applyFont="1" applyFill="1" applyAlignment="1">
      <alignment/>
      <protection/>
    </xf>
    <xf numFmtId="169" fontId="2" fillId="0" borderId="0" xfId="48" applyNumberFormat="1" applyFont="1" applyFill="1" applyAlignment="1">
      <alignment/>
      <protection/>
    </xf>
    <xf numFmtId="0" fontId="3" fillId="33" borderId="0" xfId="48" applyNumberFormat="1" applyFont="1" applyFill="1" applyAlignment="1">
      <alignment horizontal="right"/>
      <protection/>
    </xf>
    <xf numFmtId="0" fontId="6" fillId="33" borderId="0" xfId="48" applyFont="1" applyFill="1" applyBorder="1" applyAlignment="1">
      <alignment horizontal="left" vertic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0" xfId="48" applyNumberFormat="1" applyFont="1" applyFill="1" applyAlignment="1">
      <alignment/>
      <protection/>
    </xf>
    <xf numFmtId="180" fontId="3" fillId="33" borderId="11" xfId="64" applyNumberFormat="1" applyFont="1" applyFill="1" applyBorder="1" applyAlignment="1">
      <alignment horizontal="right"/>
    </xf>
    <xf numFmtId="180" fontId="1" fillId="33" borderId="21" xfId="64" applyNumberFormat="1" applyFont="1" applyFill="1" applyBorder="1" applyAlignment="1">
      <alignment horizontal="right"/>
    </xf>
    <xf numFmtId="180" fontId="1" fillId="33" borderId="10" xfId="64" applyNumberFormat="1" applyFont="1" applyFill="1" applyBorder="1" applyAlignment="1">
      <alignment horizontal="right"/>
    </xf>
    <xf numFmtId="180" fontId="1" fillId="33" borderId="0" xfId="64" applyNumberFormat="1" applyFont="1" applyFill="1" applyAlignment="1">
      <alignment horizontal="right"/>
    </xf>
    <xf numFmtId="180" fontId="1" fillId="33" borderId="12" xfId="64" applyNumberFormat="1" applyFont="1" applyFill="1" applyBorder="1" applyAlignment="1">
      <alignment horizontal="right"/>
    </xf>
    <xf numFmtId="180" fontId="1" fillId="33" borderId="11" xfId="64" applyNumberFormat="1" applyFont="1" applyFill="1" applyBorder="1" applyAlignment="1">
      <alignment horizontal="right"/>
    </xf>
    <xf numFmtId="180" fontId="3" fillId="33" borderId="12" xfId="64" applyNumberFormat="1" applyFont="1" applyFill="1" applyBorder="1" applyAlignment="1">
      <alignment horizontal="right"/>
    </xf>
    <xf numFmtId="180" fontId="3" fillId="33" borderId="0" xfId="64" applyNumberFormat="1" applyFont="1" applyFill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80" fontId="1" fillId="33" borderId="14" xfId="64" applyNumberFormat="1" applyFont="1" applyFill="1" applyBorder="1" applyAlignment="1">
      <alignment horizontal="right"/>
    </xf>
    <xf numFmtId="180" fontId="3" fillId="0" borderId="0" xfId="64" applyNumberFormat="1" applyFont="1" applyFill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180" fontId="48" fillId="0" borderId="14" xfId="64" applyNumberFormat="1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80" fontId="3" fillId="33" borderId="14" xfId="64" applyNumberFormat="1" applyFont="1" applyFill="1" applyBorder="1" applyAlignment="1">
      <alignment horizontal="right"/>
    </xf>
    <xf numFmtId="180" fontId="3" fillId="33" borderId="14" xfId="63" applyNumberFormat="1" applyFont="1" applyFill="1" applyBorder="1" applyAlignment="1">
      <alignment/>
    </xf>
    <xf numFmtId="180" fontId="3" fillId="33" borderId="13" xfId="64" applyNumberFormat="1" applyFont="1" applyFill="1" applyBorder="1" applyAlignment="1">
      <alignment horizontal="right"/>
    </xf>
    <xf numFmtId="180" fontId="3" fillId="0" borderId="14" xfId="63" applyNumberFormat="1" applyFont="1" applyFill="1" applyBorder="1" applyAlignment="1">
      <alignment/>
    </xf>
    <xf numFmtId="180" fontId="1" fillId="33" borderId="18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3" fillId="33" borderId="18" xfId="64" applyNumberFormat="1" applyFont="1" applyFill="1" applyBorder="1" applyAlignment="1">
      <alignment horizontal="right"/>
    </xf>
    <xf numFmtId="180" fontId="3" fillId="33" borderId="22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80" fontId="1" fillId="33" borderId="22" xfId="64" applyNumberFormat="1" applyFont="1" applyFill="1" applyBorder="1" applyAlignment="1">
      <alignment horizontal="right"/>
    </xf>
    <xf numFmtId="180" fontId="3" fillId="33" borderId="17" xfId="64" applyNumberFormat="1" applyFont="1" applyFill="1" applyBorder="1" applyAlignment="1">
      <alignment horizontal="right"/>
    </xf>
    <xf numFmtId="180" fontId="1" fillId="33" borderId="24" xfId="64" applyNumberFormat="1" applyFont="1" applyFill="1" applyBorder="1" applyAlignment="1">
      <alignment horizontal="right"/>
    </xf>
    <xf numFmtId="180" fontId="3" fillId="33" borderId="0" xfId="48" applyNumberFormat="1" applyFont="1" applyFill="1" applyAlignment="1">
      <alignment/>
      <protection/>
    </xf>
    <xf numFmtId="180" fontId="3" fillId="33" borderId="17" xfId="48" applyNumberFormat="1" applyFont="1" applyFill="1" applyBorder="1" applyAlignment="1">
      <alignment/>
      <protection/>
    </xf>
    <xf numFmtId="180" fontId="3" fillId="33" borderId="24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71" fontId="1" fillId="33" borderId="23" xfId="63" applyFont="1" applyFill="1" applyBorder="1" applyAlignment="1">
      <alignment horizontal="right"/>
    </xf>
    <xf numFmtId="171" fontId="3" fillId="33" borderId="11" xfId="63" applyFont="1" applyFill="1" applyBorder="1" applyAlignment="1">
      <alignment horizontal="right"/>
    </xf>
    <xf numFmtId="0" fontId="3" fillId="0" borderId="0" xfId="48" applyFont="1" applyFill="1" applyBorder="1" applyAlignment="1">
      <alignment horizontal="center" vertical="center"/>
      <protection/>
    </xf>
    <xf numFmtId="49" fontId="3" fillId="33" borderId="12" xfId="48" applyNumberFormat="1" applyFont="1" applyFill="1" applyBorder="1" applyAlignment="1">
      <alignment horizontal="left"/>
      <protection/>
    </xf>
    <xf numFmtId="180" fontId="3" fillId="33" borderId="18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80" fontId="3" fillId="33" borderId="18" xfId="64" applyNumberFormat="1" applyFont="1" applyFill="1" applyBorder="1" applyAlignment="1">
      <alignment horizontal="center"/>
    </xf>
    <xf numFmtId="180" fontId="3" fillId="33" borderId="12" xfId="64" applyNumberFormat="1" applyFont="1" applyFill="1" applyBorder="1" applyAlignment="1">
      <alignment horizontal="center"/>
    </xf>
    <xf numFmtId="180" fontId="1" fillId="33" borderId="20" xfId="64" applyNumberFormat="1" applyFont="1" applyFill="1" applyBorder="1" applyAlignment="1">
      <alignment horizontal="right"/>
    </xf>
    <xf numFmtId="180" fontId="1" fillId="33" borderId="19" xfId="64" applyNumberFormat="1" applyFont="1" applyFill="1" applyBorder="1" applyAlignment="1">
      <alignment horizontal="right"/>
    </xf>
    <xf numFmtId="49" fontId="1" fillId="33" borderId="19" xfId="48" applyNumberFormat="1" applyFont="1" applyFill="1" applyBorder="1" applyAlignment="1">
      <alignment horizontal="left"/>
      <protection/>
    </xf>
    <xf numFmtId="0" fontId="3" fillId="33" borderId="13" xfId="48" applyFont="1" applyFill="1" applyBorder="1" applyAlignment="1">
      <alignment horizontal="left"/>
      <protection/>
    </xf>
    <xf numFmtId="180" fontId="1" fillId="33" borderId="20" xfId="64" applyNumberFormat="1" applyFont="1" applyFill="1" applyBorder="1" applyAlignment="1">
      <alignment horizontal="center"/>
    </xf>
    <xf numFmtId="180" fontId="1" fillId="33" borderId="13" xfId="64" applyNumberFormat="1" applyFont="1" applyFill="1" applyBorder="1" applyAlignment="1">
      <alignment horizontal="center"/>
    </xf>
    <xf numFmtId="180" fontId="3" fillId="33" borderId="0" xfId="64" applyNumberFormat="1" applyFont="1" applyFill="1" applyBorder="1" applyAlignment="1">
      <alignment horizontal="center"/>
    </xf>
    <xf numFmtId="0" fontId="49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0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49" fontId="1" fillId="34" borderId="10" xfId="48" applyNumberFormat="1" applyFont="1" applyFill="1" applyBorder="1" applyAlignment="1">
      <alignment horizontal="center" vertical="center" wrapText="1"/>
      <protection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7" xfId="48" applyNumberFormat="1" applyFont="1" applyFill="1" applyBorder="1" applyAlignment="1">
      <alignment horizontal="center" vertical="center" wrapText="1"/>
      <protection/>
    </xf>
    <xf numFmtId="0" fontId="1" fillId="34" borderId="20" xfId="48" applyFont="1" applyFill="1" applyBorder="1" applyAlignment="1">
      <alignment horizontal="center" vertical="center"/>
      <protection/>
    </xf>
    <xf numFmtId="0" fontId="1" fillId="34" borderId="19" xfId="48" applyFont="1" applyFill="1" applyBorder="1" applyAlignment="1">
      <alignment horizontal="center" vertical="center"/>
      <protection/>
    </xf>
    <xf numFmtId="0" fontId="1" fillId="34" borderId="13" xfId="48" applyFont="1" applyFill="1" applyBorder="1" applyAlignment="1">
      <alignment horizontal="center" vertical="center"/>
      <protection/>
    </xf>
    <xf numFmtId="49" fontId="1" fillId="34" borderId="18" xfId="48" applyNumberFormat="1" applyFont="1" applyFill="1" applyBorder="1" applyAlignment="1">
      <alignment horizontal="center"/>
      <protection/>
    </xf>
    <xf numFmtId="49" fontId="1" fillId="34" borderId="0" xfId="48" applyNumberFormat="1" applyFont="1" applyFill="1" applyBorder="1" applyAlignment="1">
      <alignment horizontal="center"/>
      <protection/>
    </xf>
    <xf numFmtId="49" fontId="1" fillId="34" borderId="22" xfId="48" applyNumberFormat="1" applyFont="1" applyFill="1" applyBorder="1" applyAlignment="1">
      <alignment horizontal="center"/>
      <protection/>
    </xf>
    <xf numFmtId="49" fontId="1" fillId="34" borderId="24" xfId="48" applyNumberFormat="1" applyFont="1" applyFill="1" applyBorder="1" applyAlignment="1">
      <alignment horizontal="center"/>
      <protection/>
    </xf>
    <xf numFmtId="49" fontId="1" fillId="34" borderId="16" xfId="48" applyNumberFormat="1" applyFont="1" applyFill="1" applyBorder="1" applyAlignment="1">
      <alignment horizontal="center"/>
      <protection/>
    </xf>
    <xf numFmtId="180" fontId="3" fillId="33" borderId="18" xfId="63" applyNumberFormat="1" applyFont="1" applyFill="1" applyBorder="1" applyAlignment="1">
      <alignment horizontal="center"/>
    </xf>
    <xf numFmtId="180" fontId="3" fillId="33" borderId="12" xfId="63" applyNumberFormat="1" applyFont="1" applyFill="1" applyBorder="1" applyAlignment="1">
      <alignment horizontal="center"/>
    </xf>
    <xf numFmtId="0" fontId="1" fillId="34" borderId="15" xfId="48" applyFont="1" applyFill="1" applyBorder="1" applyAlignment="1">
      <alignment horizontal="center" vertical="center"/>
      <protection/>
    </xf>
    <xf numFmtId="0" fontId="1" fillId="34" borderId="21" xfId="48" applyFont="1" applyFill="1" applyBorder="1" applyAlignment="1">
      <alignment horizontal="center" vertical="center"/>
      <protection/>
    </xf>
    <xf numFmtId="0" fontId="1" fillId="34" borderId="0" xfId="48" applyFont="1" applyFill="1" applyBorder="1" applyAlignment="1">
      <alignment horizontal="center" vertical="center"/>
      <protection/>
    </xf>
    <xf numFmtId="0" fontId="1" fillId="34" borderId="12" xfId="48" applyFont="1" applyFill="1" applyBorder="1" applyAlignment="1">
      <alignment horizontal="center" vertical="center"/>
      <protection/>
    </xf>
    <xf numFmtId="0" fontId="1" fillId="34" borderId="16" xfId="48" applyFont="1" applyFill="1" applyBorder="1" applyAlignment="1">
      <alignment horizontal="center" vertical="center"/>
      <protection/>
    </xf>
    <xf numFmtId="0" fontId="1" fillId="34" borderId="24" xfId="48" applyFont="1" applyFill="1" applyBorder="1" applyAlignment="1">
      <alignment horizontal="center" vertical="center"/>
      <protection/>
    </xf>
    <xf numFmtId="49" fontId="1" fillId="33" borderId="12" xfId="48" applyNumberFormat="1" applyFont="1" applyFill="1" applyBorder="1" applyAlignment="1">
      <alignment horizontal="left"/>
      <protection/>
    </xf>
    <xf numFmtId="180" fontId="1" fillId="33" borderId="18" xfId="63" applyNumberFormat="1" applyFont="1" applyFill="1" applyBorder="1" applyAlignment="1">
      <alignment horizontal="right"/>
    </xf>
    <xf numFmtId="180" fontId="1" fillId="33" borderId="12" xfId="63" applyNumberFormat="1" applyFont="1" applyFill="1" applyBorder="1" applyAlignment="1">
      <alignment horizontal="right"/>
    </xf>
    <xf numFmtId="49" fontId="1" fillId="34" borderId="23" xfId="48" applyNumberFormat="1" applyFont="1" applyFill="1" applyBorder="1" applyAlignment="1">
      <alignment horizontal="center"/>
      <protection/>
    </xf>
    <xf numFmtId="49" fontId="1" fillId="34" borderId="15" xfId="48" applyNumberFormat="1" applyFont="1" applyFill="1" applyBorder="1" applyAlignment="1">
      <alignment horizontal="center"/>
      <protection/>
    </xf>
    <xf numFmtId="49" fontId="1" fillId="34" borderId="21" xfId="48" applyNumberFormat="1" applyFont="1" applyFill="1" applyBorder="1" applyAlignment="1">
      <alignment horizontal="center"/>
      <protection/>
    </xf>
    <xf numFmtId="180" fontId="3" fillId="33" borderId="18" xfId="63" applyNumberFormat="1" applyFont="1" applyFill="1" applyBorder="1" applyAlignment="1">
      <alignment horizontal="right"/>
    </xf>
    <xf numFmtId="180" fontId="3" fillId="33" borderId="12" xfId="63" applyNumberFormat="1" applyFont="1" applyFill="1" applyBorder="1" applyAlignment="1">
      <alignment horizontal="right"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180" fontId="1" fillId="33" borderId="23" xfId="63" applyNumberFormat="1" applyFont="1" applyFill="1" applyBorder="1" applyAlignment="1">
      <alignment horizontal="right"/>
    </xf>
    <xf numFmtId="180" fontId="1" fillId="33" borderId="21" xfId="63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15" xfId="64" applyNumberFormat="1" applyFont="1" applyFill="1" applyBorder="1" applyAlignment="1">
      <alignment horizontal="right"/>
    </xf>
    <xf numFmtId="180" fontId="1" fillId="33" borderId="18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49" fontId="3" fillId="33" borderId="12" xfId="48" applyNumberFormat="1" applyFont="1" applyFill="1" applyBorder="1" applyAlignment="1">
      <alignment horizontal="left" indent="4"/>
      <protection/>
    </xf>
    <xf numFmtId="180" fontId="1" fillId="33" borderId="18" xfId="64" applyNumberFormat="1" applyFont="1" applyFill="1" applyBorder="1" applyAlignment="1">
      <alignment horizontal="center"/>
    </xf>
    <xf numFmtId="180" fontId="1" fillId="33" borderId="12" xfId="64" applyNumberFormat="1" applyFont="1" applyFill="1" applyBorder="1" applyAlignment="1">
      <alignment horizontal="center"/>
    </xf>
    <xf numFmtId="49" fontId="3" fillId="33" borderId="0" xfId="48" applyNumberFormat="1" applyFont="1" applyFill="1" applyBorder="1" applyAlignment="1">
      <alignment horizontal="left"/>
      <protection/>
    </xf>
    <xf numFmtId="0" fontId="3" fillId="33" borderId="12" xfId="48" applyFont="1" applyFill="1" applyBorder="1" applyAlignment="1">
      <alignment horizontal="left"/>
      <protection/>
    </xf>
    <xf numFmtId="169" fontId="3" fillId="33" borderId="18" xfId="64" applyNumberFormat="1" applyFont="1" applyFill="1" applyBorder="1" applyAlignment="1">
      <alignment horizontal="right"/>
    </xf>
    <xf numFmtId="169" fontId="3" fillId="33" borderId="12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0" fontId="1" fillId="33" borderId="15" xfId="48" applyNumberFormat="1" applyFont="1" applyFill="1" applyBorder="1" applyAlignment="1">
      <alignment horizontal="left"/>
      <protection/>
    </xf>
    <xf numFmtId="0" fontId="3" fillId="33" borderId="21" xfId="48" applyFont="1" applyFill="1" applyBorder="1" applyAlignment="1">
      <alignment horizontal="left"/>
      <protection/>
    </xf>
    <xf numFmtId="169" fontId="1" fillId="33" borderId="23" xfId="64" applyNumberFormat="1" applyFont="1" applyFill="1" applyBorder="1" applyAlignment="1">
      <alignment horizontal="right"/>
    </xf>
    <xf numFmtId="169" fontId="1" fillId="33" borderId="21" xfId="64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0" fontId="1" fillId="33" borderId="12" xfId="48" applyFont="1" applyFill="1" applyBorder="1" applyAlignment="1">
      <alignment horizontal="left"/>
      <protection/>
    </xf>
    <xf numFmtId="180" fontId="1" fillId="33" borderId="22" xfId="64" applyNumberFormat="1" applyFont="1" applyFill="1" applyBorder="1" applyAlignment="1">
      <alignment horizontal="center"/>
    </xf>
    <xf numFmtId="180" fontId="1" fillId="33" borderId="24" xfId="64" applyNumberFormat="1" applyFont="1" applyFill="1" applyBorder="1" applyAlignment="1">
      <alignment horizontal="center"/>
    </xf>
    <xf numFmtId="180" fontId="1" fillId="33" borderId="13" xfId="64" applyNumberFormat="1" applyFont="1" applyFill="1" applyBorder="1" applyAlignment="1">
      <alignment horizontal="right"/>
    </xf>
    <xf numFmtId="0" fontId="3" fillId="33" borderId="16" xfId="48" applyFont="1" applyFill="1" applyBorder="1" applyAlignment="1">
      <alignment horizontal="left"/>
      <protection/>
    </xf>
    <xf numFmtId="0" fontId="3" fillId="33" borderId="24" xfId="48" applyFont="1" applyFill="1" applyBorder="1" applyAlignment="1">
      <alignment horizontal="left"/>
      <protection/>
    </xf>
    <xf numFmtId="169" fontId="3" fillId="33" borderId="22" xfId="64" applyNumberFormat="1" applyFont="1" applyFill="1" applyBorder="1" applyAlignment="1">
      <alignment horizontal="right"/>
    </xf>
    <xf numFmtId="169" fontId="3" fillId="33" borderId="24" xfId="64" applyNumberFormat="1" applyFont="1" applyFill="1" applyBorder="1" applyAlignment="1">
      <alignment horizontal="right"/>
    </xf>
    <xf numFmtId="0" fontId="3" fillId="33" borderId="0" xfId="48" applyFont="1" applyFill="1" applyBorder="1" applyAlignment="1">
      <alignment horizontal="left"/>
      <protection/>
    </xf>
    <xf numFmtId="49" fontId="1" fillId="33" borderId="13" xfId="48" applyNumberFormat="1" applyFont="1" applyFill="1" applyBorder="1" applyAlignment="1">
      <alignment horizontal="left"/>
      <protection/>
    </xf>
    <xf numFmtId="180" fontId="1" fillId="33" borderId="20" xfId="63" applyNumberFormat="1" applyFont="1" applyFill="1" applyBorder="1" applyAlignment="1">
      <alignment horizontal="center"/>
    </xf>
    <xf numFmtId="180" fontId="1" fillId="33" borderId="13" xfId="63" applyNumberFormat="1" applyFont="1" applyFill="1" applyBorder="1" applyAlignment="1">
      <alignment horizontal="center"/>
    </xf>
    <xf numFmtId="169" fontId="1" fillId="33" borderId="20" xfId="63" applyNumberFormat="1" applyFont="1" applyFill="1" applyBorder="1" applyAlignment="1">
      <alignment horizontal="right"/>
    </xf>
    <xf numFmtId="169" fontId="1" fillId="33" borderId="19" xfId="63" applyNumberFormat="1" applyFont="1" applyFill="1" applyBorder="1" applyAlignment="1">
      <alignment horizontal="right"/>
    </xf>
    <xf numFmtId="49" fontId="1" fillId="33" borderId="15" xfId="48" applyNumberFormat="1" applyFont="1" applyFill="1" applyBorder="1" applyAlignment="1">
      <alignment horizontal="left"/>
      <protection/>
    </xf>
    <xf numFmtId="49" fontId="1" fillId="33" borderId="21" xfId="48" applyNumberFormat="1" applyFont="1" applyFill="1" applyBorder="1" applyAlignment="1">
      <alignment horizontal="left"/>
      <protection/>
    </xf>
    <xf numFmtId="49" fontId="1" fillId="33" borderId="19" xfId="48" applyNumberFormat="1" applyFont="1" applyFill="1" applyBorder="1" applyAlignment="1">
      <alignment horizontal="left" vertical="center" wrapText="1"/>
      <protection/>
    </xf>
    <xf numFmtId="0" fontId="1" fillId="34" borderId="23" xfId="48" applyNumberFormat="1" applyFont="1" applyFill="1" applyBorder="1" applyAlignment="1">
      <alignment horizontal="center" vertical="center" wrapText="1"/>
      <protection/>
    </xf>
    <xf numFmtId="0" fontId="1" fillId="34" borderId="15" xfId="48" applyNumberFormat="1" applyFont="1" applyFill="1" applyBorder="1" applyAlignment="1">
      <alignment horizontal="center" vertical="center" wrapText="1"/>
      <protection/>
    </xf>
    <xf numFmtId="0" fontId="1" fillId="34" borderId="18" xfId="48" applyNumberFormat="1" applyFont="1" applyFill="1" applyBorder="1" applyAlignment="1">
      <alignment horizontal="center" vertical="center" wrapText="1"/>
      <protection/>
    </xf>
    <xf numFmtId="0" fontId="1" fillId="34" borderId="0" xfId="48" applyNumberFormat="1" applyFont="1" applyFill="1" applyBorder="1" applyAlignment="1">
      <alignment horizontal="center" vertical="center" wrapText="1"/>
      <protection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1" xfId="48" applyNumberFormat="1" applyFont="1" applyFill="1" applyBorder="1" applyAlignment="1">
      <alignment horizontal="center"/>
      <protection/>
    </xf>
    <xf numFmtId="0" fontId="1" fillId="34" borderId="18" xfId="48" applyNumberFormat="1" applyFont="1" applyFill="1" applyBorder="1" applyAlignment="1">
      <alignment horizontal="center"/>
      <protection/>
    </xf>
    <xf numFmtId="0" fontId="1" fillId="34" borderId="12" xfId="48" applyNumberFormat="1" applyFont="1" applyFill="1" applyBorder="1" applyAlignment="1">
      <alignment horizontal="center"/>
      <protection/>
    </xf>
    <xf numFmtId="169" fontId="3" fillId="33" borderId="20" xfId="64" applyNumberFormat="1" applyFont="1" applyFill="1" applyBorder="1" applyAlignment="1">
      <alignment horizontal="right" vertical="center"/>
    </xf>
    <xf numFmtId="169" fontId="3" fillId="33" borderId="19" xfId="64" applyNumberFormat="1" applyFont="1" applyFill="1" applyBorder="1" applyAlignment="1">
      <alignment horizontal="right" vertical="center"/>
    </xf>
    <xf numFmtId="180" fontId="3" fillId="33" borderId="20" xfId="63" applyNumberFormat="1" applyFont="1" applyFill="1" applyBorder="1" applyAlignment="1">
      <alignment horizontal="center" wrapText="1"/>
    </xf>
    <xf numFmtId="180" fontId="3" fillId="33" borderId="13" xfId="63" applyNumberFormat="1" applyFont="1" applyFill="1" applyBorder="1" applyAlignment="1">
      <alignment horizontal="center" wrapText="1"/>
    </xf>
    <xf numFmtId="0" fontId="3" fillId="33" borderId="19" xfId="48" applyFont="1" applyFill="1" applyBorder="1" applyAlignment="1">
      <alignment horizontal="left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/>
      <protection/>
    </xf>
    <xf numFmtId="0" fontId="1" fillId="34" borderId="21" xfId="48" applyNumberFormat="1" applyFont="1" applyFill="1" applyBorder="1" applyAlignment="1">
      <alignment horizontal="center" vertical="center"/>
      <protection/>
    </xf>
    <xf numFmtId="0" fontId="1" fillId="34" borderId="12" xfId="48" applyNumberFormat="1" applyFont="1" applyFill="1" applyBorder="1" applyAlignment="1">
      <alignment horizontal="center" vertic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1" fillId="34" borderId="20" xfId="48" applyNumberFormat="1" applyFont="1" applyFill="1" applyBorder="1" applyAlignment="1">
      <alignment horizontal="center"/>
      <protection/>
    </xf>
    <xf numFmtId="0" fontId="1" fillId="34" borderId="19" xfId="48" applyNumberFormat="1" applyFont="1" applyFill="1" applyBorder="1" applyAlignment="1">
      <alignment horizontal="center"/>
      <protection/>
    </xf>
    <xf numFmtId="0" fontId="1" fillId="34" borderId="13" xfId="48" applyNumberFormat="1" applyFont="1" applyFill="1" applyBorder="1" applyAlignment="1">
      <alignment horizontal="center"/>
      <protection/>
    </xf>
    <xf numFmtId="0" fontId="1" fillId="34" borderId="16" xfId="48" applyNumberFormat="1" applyFont="1" applyFill="1" applyBorder="1" applyAlignment="1">
      <alignment horizontal="center"/>
      <protection/>
    </xf>
    <xf numFmtId="180" fontId="1" fillId="33" borderId="23" xfId="64" applyNumberFormat="1" applyFont="1" applyFill="1" applyBorder="1" applyAlignment="1">
      <alignment horizontal="center"/>
    </xf>
    <xf numFmtId="180" fontId="1" fillId="33" borderId="21" xfId="64" applyNumberFormat="1" applyFont="1" applyFill="1" applyBorder="1" applyAlignment="1">
      <alignment horizontal="center"/>
    </xf>
    <xf numFmtId="171" fontId="1" fillId="33" borderId="23" xfId="63" applyFont="1" applyFill="1" applyBorder="1" applyAlignment="1">
      <alignment horizontal="right"/>
    </xf>
    <xf numFmtId="171" fontId="1" fillId="33" borderId="15" xfId="63" applyFont="1" applyFill="1" applyBorder="1" applyAlignment="1">
      <alignment horizontal="right"/>
    </xf>
    <xf numFmtId="171" fontId="1" fillId="33" borderId="18" xfId="63" applyFont="1" applyFill="1" applyBorder="1" applyAlignment="1">
      <alignment horizontal="right"/>
    </xf>
    <xf numFmtId="171" fontId="1" fillId="33" borderId="0" xfId="63" applyFont="1" applyFill="1" applyBorder="1" applyAlignment="1">
      <alignment horizontal="right"/>
    </xf>
    <xf numFmtId="171" fontId="3" fillId="33" borderId="18" xfId="63" applyFont="1" applyFill="1" applyBorder="1" applyAlignment="1">
      <alignment horizontal="center"/>
    </xf>
    <xf numFmtId="171" fontId="3" fillId="33" borderId="0" xfId="63" applyFont="1" applyFill="1" applyBorder="1" applyAlignment="1">
      <alignment horizontal="center"/>
    </xf>
    <xf numFmtId="171" fontId="1" fillId="33" borderId="20" xfId="63" applyFont="1" applyFill="1" applyBorder="1" applyAlignment="1">
      <alignment horizontal="right"/>
    </xf>
    <xf numFmtId="171" fontId="1" fillId="33" borderId="19" xfId="63" applyFont="1" applyFill="1" applyBorder="1" applyAlignment="1">
      <alignment horizontal="right"/>
    </xf>
    <xf numFmtId="171" fontId="1" fillId="33" borderId="18" xfId="63" applyFont="1" applyFill="1" applyBorder="1" applyAlignment="1">
      <alignment horizontal="center"/>
    </xf>
    <xf numFmtId="171" fontId="1" fillId="33" borderId="0" xfId="63" applyFont="1" applyFill="1" applyBorder="1" applyAlignment="1">
      <alignment horizontal="center"/>
    </xf>
    <xf numFmtId="169" fontId="3" fillId="33" borderId="22" xfId="64" applyNumberFormat="1" applyFont="1" applyFill="1" applyBorder="1" applyAlignment="1">
      <alignment horizontal="center"/>
    </xf>
    <xf numFmtId="169" fontId="3" fillId="33" borderId="16" xfId="64" applyNumberFormat="1" applyFont="1" applyFill="1" applyBorder="1" applyAlignment="1">
      <alignment horizontal="center"/>
    </xf>
    <xf numFmtId="171" fontId="3" fillId="33" borderId="0" xfId="63" applyFont="1" applyFill="1" applyBorder="1" applyAlignment="1">
      <alignment horizontal="right"/>
    </xf>
    <xf numFmtId="0" fontId="4" fillId="33" borderId="0" xfId="48" applyNumberFormat="1" applyFont="1" applyFill="1" applyAlignment="1">
      <alignment horizontal="center"/>
      <protection/>
    </xf>
    <xf numFmtId="49" fontId="4" fillId="33" borderId="0" xfId="48" applyNumberFormat="1" applyFont="1" applyFill="1" applyAlignment="1">
      <alignment horizontal="center"/>
      <protection/>
    </xf>
    <xf numFmtId="171" fontId="3" fillId="33" borderId="16" xfId="63" applyFont="1" applyFill="1" applyBorder="1" applyAlignment="1">
      <alignment horizontal="right"/>
    </xf>
    <xf numFmtId="169" fontId="1" fillId="33" borderId="20" xfId="64" applyNumberFormat="1" applyFont="1" applyFill="1" applyBorder="1" applyAlignment="1">
      <alignment horizontal="right"/>
    </xf>
    <xf numFmtId="169" fontId="1" fillId="33" borderId="13" xfId="64" applyNumberFormat="1" applyFont="1" applyFill="1" applyBorder="1" applyAlignment="1">
      <alignment horizontal="right"/>
    </xf>
    <xf numFmtId="0" fontId="5" fillId="33" borderId="0" xfId="48" applyNumberFormat="1" applyFont="1" applyFill="1" applyAlignment="1">
      <alignment horizontal="center"/>
      <protection/>
    </xf>
    <xf numFmtId="171" fontId="1" fillId="33" borderId="23" xfId="63" applyNumberFormat="1" applyFont="1" applyFill="1" applyBorder="1" applyAlignment="1">
      <alignment horizontal="right"/>
    </xf>
    <xf numFmtId="171" fontId="1" fillId="33" borderId="21" xfId="63" applyNumberFormat="1" applyFont="1" applyFill="1" applyBorder="1" applyAlignment="1">
      <alignment horizontal="right"/>
    </xf>
    <xf numFmtId="171" fontId="1" fillId="33" borderId="18" xfId="63" applyNumberFormat="1" applyFont="1" applyFill="1" applyBorder="1" applyAlignment="1">
      <alignment horizontal="right"/>
    </xf>
    <xf numFmtId="171" fontId="1" fillId="33" borderId="12" xfId="63" applyNumberFormat="1" applyFont="1" applyFill="1" applyBorder="1" applyAlignment="1">
      <alignment horizontal="right"/>
    </xf>
    <xf numFmtId="171" fontId="3" fillId="33" borderId="18" xfId="63" applyNumberFormat="1" applyFont="1" applyFill="1" applyBorder="1" applyAlignment="1">
      <alignment horizontal="right"/>
    </xf>
    <xf numFmtId="171" fontId="3" fillId="33" borderId="12" xfId="63" applyNumberFormat="1" applyFont="1" applyFill="1" applyBorder="1" applyAlignment="1">
      <alignment horizontal="right"/>
    </xf>
    <xf numFmtId="171" fontId="3" fillId="33" borderId="18" xfId="63" applyNumberFormat="1" applyFont="1" applyFill="1" applyBorder="1" applyAlignment="1">
      <alignment horizontal="center"/>
    </xf>
    <xf numFmtId="171" fontId="3" fillId="33" borderId="12" xfId="63" applyNumberFormat="1" applyFont="1" applyFill="1" applyBorder="1" applyAlignment="1">
      <alignment horizontal="center"/>
    </xf>
    <xf numFmtId="171" fontId="3" fillId="33" borderId="18" xfId="64" applyNumberFormat="1" applyFont="1" applyFill="1" applyBorder="1" applyAlignment="1">
      <alignment horizontal="center"/>
    </xf>
    <xf numFmtId="171" fontId="3" fillId="33" borderId="12" xfId="64" applyNumberFormat="1" applyFont="1" applyFill="1" applyBorder="1" applyAlignment="1">
      <alignment horizontal="center"/>
    </xf>
    <xf numFmtId="180" fontId="1" fillId="33" borderId="0" xfId="64" applyNumberFormat="1" applyFont="1" applyFill="1" applyBorder="1" applyAlignment="1">
      <alignment horizontal="center"/>
    </xf>
    <xf numFmtId="180" fontId="3" fillId="33" borderId="22" xfId="64" applyNumberFormat="1" applyFont="1" applyFill="1" applyBorder="1" applyAlignment="1">
      <alignment horizontal="center"/>
    </xf>
    <xf numFmtId="180" fontId="3" fillId="33" borderId="24" xfId="64" applyNumberFormat="1" applyFont="1" applyFill="1" applyBorder="1" applyAlignment="1">
      <alignment horizontal="center"/>
    </xf>
    <xf numFmtId="180" fontId="3" fillId="33" borderId="16" xfId="64" applyNumberFormat="1" applyFont="1" applyFill="1" applyBorder="1" applyAlignment="1">
      <alignment horizontal="center"/>
    </xf>
    <xf numFmtId="171" fontId="3" fillId="33" borderId="22" xfId="63" applyNumberFormat="1" applyFont="1" applyFill="1" applyBorder="1" applyAlignment="1">
      <alignment horizontal="center"/>
    </xf>
    <xf numFmtId="171" fontId="3" fillId="33" borderId="24" xfId="63" applyNumberFormat="1" applyFont="1" applyFill="1" applyBorder="1" applyAlignment="1">
      <alignment horizontal="center"/>
    </xf>
    <xf numFmtId="171" fontId="1" fillId="33" borderId="18" xfId="63" applyNumberFormat="1" applyFont="1" applyFill="1" applyBorder="1" applyAlignment="1">
      <alignment horizontal="center"/>
    </xf>
    <xf numFmtId="171" fontId="1" fillId="33" borderId="12" xfId="63" applyNumberFormat="1" applyFont="1" applyFill="1" applyBorder="1" applyAlignment="1">
      <alignment horizontal="center"/>
    </xf>
    <xf numFmtId="180" fontId="3" fillId="33" borderId="22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49" fontId="3" fillId="33" borderId="24" xfId="48" applyNumberFormat="1" applyFont="1" applyFill="1" applyBorder="1" applyAlignment="1">
      <alignment horizontal="left"/>
      <protection/>
    </xf>
    <xf numFmtId="37" fontId="6" fillId="33" borderId="19" xfId="48" applyNumberFormat="1" applyFont="1" applyFill="1" applyBorder="1" applyAlignment="1">
      <alignment horizontal="center" vertic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169" fontId="46" fillId="0" borderId="0" xfId="48" applyNumberFormat="1" applyFont="1" applyFill="1" applyAlignment="1">
      <alignment horizontal="center" wrapText="1"/>
      <protection/>
    </xf>
    <xf numFmtId="0" fontId="50" fillId="0" borderId="0" xfId="48" applyNumberFormat="1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123825</xdr:rowOff>
    </xdr:from>
    <xdr:to>
      <xdr:col>3</xdr:col>
      <xdr:colOff>1428750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238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126</xdr:row>
      <xdr:rowOff>190500</xdr:rowOff>
    </xdr:from>
    <xdr:to>
      <xdr:col>4</xdr:col>
      <xdr:colOff>28575</xdr:colOff>
      <xdr:row>129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52603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75" zoomScaleNormal="75" zoomScaleSheetLayoutView="70" workbookViewId="0" topLeftCell="A199">
      <selection activeCell="A223" sqref="A223:L223"/>
    </sheetView>
  </sheetViews>
  <sheetFormatPr defaultColWidth="9.140625" defaultRowHeight="11.25" customHeight="1"/>
  <cols>
    <col min="1" max="1" width="80.00390625" style="2" customWidth="1"/>
    <col min="2" max="2" width="20.28125" style="2" bestFit="1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bestFit="1" customWidth="1"/>
    <col min="7" max="7" width="20.00390625" style="2" bestFit="1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160" t="s">
        <v>27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4" customFormat="1" ht="15.75" customHeight="1">
      <c r="A7" s="161" t="s">
        <v>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s="4" customFormat="1" ht="15.75" customHeight="1">
      <c r="A8" s="162" t="s">
        <v>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s="4" customFormat="1" ht="15.75" customHeight="1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s="4" customFormat="1" ht="16.5">
      <c r="A10" s="161" t="s">
        <v>147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08" t="s">
        <v>148</v>
      </c>
    </row>
    <row r="13" spans="1:12" s="3" customFormat="1" ht="15.75">
      <c r="A13" s="8" t="s">
        <v>71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177" t="s">
        <v>4</v>
      </c>
      <c r="B14" s="178"/>
      <c r="C14" s="164" t="s">
        <v>72</v>
      </c>
      <c r="D14" s="85" t="s">
        <v>87</v>
      </c>
      <c r="E14" s="167" t="s">
        <v>3</v>
      </c>
      <c r="F14" s="168"/>
      <c r="G14" s="168"/>
      <c r="H14" s="168"/>
      <c r="I14" s="169"/>
      <c r="J14" s="186" t="s">
        <v>73</v>
      </c>
      <c r="K14" s="187"/>
      <c r="L14" s="187"/>
    </row>
    <row r="15" spans="1:12" s="3" customFormat="1" ht="15.75" customHeight="1">
      <c r="A15" s="179"/>
      <c r="B15" s="180"/>
      <c r="C15" s="165"/>
      <c r="D15" s="86" t="s">
        <v>6</v>
      </c>
      <c r="E15" s="85" t="s">
        <v>7</v>
      </c>
      <c r="F15" s="87" t="s">
        <v>8</v>
      </c>
      <c r="G15" s="186" t="s">
        <v>9</v>
      </c>
      <c r="H15" s="188"/>
      <c r="I15" s="87" t="s">
        <v>8</v>
      </c>
      <c r="J15" s="170"/>
      <c r="K15" s="171"/>
      <c r="L15" s="171"/>
    </row>
    <row r="16" spans="1:12" s="3" customFormat="1" ht="16.5" customHeight="1">
      <c r="A16" s="181"/>
      <c r="B16" s="182"/>
      <c r="C16" s="166"/>
      <c r="D16" s="88" t="s">
        <v>10</v>
      </c>
      <c r="E16" s="88" t="s">
        <v>11</v>
      </c>
      <c r="F16" s="88" t="s">
        <v>12</v>
      </c>
      <c r="G16" s="172" t="s">
        <v>74</v>
      </c>
      <c r="H16" s="173"/>
      <c r="I16" s="88" t="s">
        <v>13</v>
      </c>
      <c r="J16" s="172" t="s">
        <v>14</v>
      </c>
      <c r="K16" s="174"/>
      <c r="L16" s="174"/>
    </row>
    <row r="17" spans="1:13" s="3" customFormat="1" ht="15.75" customHeight="1">
      <c r="A17" s="191" t="s">
        <v>75</v>
      </c>
      <c r="B17" s="192"/>
      <c r="C17" s="113">
        <f>C18+C58</f>
        <v>66563479836</v>
      </c>
      <c r="D17" s="114">
        <f>D18+D58</f>
        <v>61653275062.84999</v>
      </c>
      <c r="E17" s="115">
        <f>E18+E58</f>
        <v>10117723572.42</v>
      </c>
      <c r="F17" s="16">
        <f>(E17/D17)*100</f>
        <v>16.41068306931933</v>
      </c>
      <c r="G17" s="193">
        <f>G18+G58</f>
        <v>49112176440.05</v>
      </c>
      <c r="H17" s="194"/>
      <c r="I17" s="16">
        <f>(G17/D17)*100</f>
        <v>79.6586659670302</v>
      </c>
      <c r="J17" s="195">
        <f>D17-G17</f>
        <v>12541098622.799988</v>
      </c>
      <c r="K17" s="196"/>
      <c r="L17" s="196"/>
      <c r="M17" s="17"/>
    </row>
    <row r="18" spans="1:13" s="3" customFormat="1" ht="15.75" customHeight="1">
      <c r="A18" s="183" t="s">
        <v>35</v>
      </c>
      <c r="B18" s="183"/>
      <c r="C18" s="116">
        <f>C19+C23+C28+C36+C37+C38+C44+C53</f>
        <v>65299268780</v>
      </c>
      <c r="D18" s="117">
        <f>D19+D23+D28+D36+D37+D38+D44+D53</f>
        <v>60459363403.21999</v>
      </c>
      <c r="E18" s="115">
        <f>E19+E23+E28+E36+E37+E38+E44+E53</f>
        <v>10091760795.23</v>
      </c>
      <c r="F18" s="18">
        <f aca="true" t="shared" si="0" ref="F18:F43">(E18/D18)*100</f>
        <v>16.691807897356266</v>
      </c>
      <c r="G18" s="184">
        <f>G19+G23+G28+G36+G37+G38+G44+G53</f>
        <v>48983800646.47</v>
      </c>
      <c r="H18" s="185"/>
      <c r="I18" s="18">
        <f aca="true" t="shared" si="1" ref="I18:I81">(G18/D18)*100</f>
        <v>81.01937878469488</v>
      </c>
      <c r="J18" s="197">
        <f>D18-G18</f>
        <v>11475562756.749992</v>
      </c>
      <c r="K18" s="198"/>
      <c r="L18" s="198"/>
      <c r="M18" s="19"/>
    </row>
    <row r="19" spans="1:13" s="3" customFormat="1" ht="15.75" customHeight="1">
      <c r="A19" s="146" t="s">
        <v>140</v>
      </c>
      <c r="B19" s="146"/>
      <c r="C19" s="118">
        <f>C20+C21+C22</f>
        <v>38233199762</v>
      </c>
      <c r="D19" s="112">
        <f>D20+D21+D22</f>
        <v>35051819879.59</v>
      </c>
      <c r="E19" s="119">
        <f>E20+E21+E22</f>
        <v>5981078770.08</v>
      </c>
      <c r="F19" s="23">
        <f t="shared" si="0"/>
        <v>17.063532765563103</v>
      </c>
      <c r="G19" s="189">
        <f>G20+G21+H22</f>
        <v>28320173505.27</v>
      </c>
      <c r="H19" s="190" t="e">
        <f>G20+G21+#REF!</f>
        <v>#REF!</v>
      </c>
      <c r="I19" s="23">
        <f t="shared" si="1"/>
        <v>80.79515871802221</v>
      </c>
      <c r="J19" s="147">
        <f>D19-G19</f>
        <v>6731646374.319996</v>
      </c>
      <c r="K19" s="148"/>
      <c r="L19" s="148"/>
      <c r="M19" s="19"/>
    </row>
    <row r="20" spans="1:12" s="3" customFormat="1" ht="15.75" customHeight="1">
      <c r="A20" s="146" t="s">
        <v>36</v>
      </c>
      <c r="B20" s="146"/>
      <c r="C20" s="118">
        <v>35182845614</v>
      </c>
      <c r="D20" s="112">
        <v>32203964425.89</v>
      </c>
      <c r="E20" s="119">
        <f>G20-20859172814.21</f>
        <v>5590360166.27</v>
      </c>
      <c r="F20" s="23">
        <f t="shared" si="0"/>
        <v>17.35922972817501</v>
      </c>
      <c r="G20" s="175">
        <v>26449532980.48</v>
      </c>
      <c r="H20" s="176"/>
      <c r="I20" s="23">
        <f t="shared" si="1"/>
        <v>82.13129486385908</v>
      </c>
      <c r="J20" s="147">
        <f aca="true" t="shared" si="2" ref="J20:J80">D20-G20</f>
        <v>5754431445.41</v>
      </c>
      <c r="K20" s="148"/>
      <c r="L20" s="148"/>
    </row>
    <row r="21" spans="1:12" s="3" customFormat="1" ht="15.75" customHeight="1">
      <c r="A21" s="146" t="s">
        <v>37</v>
      </c>
      <c r="B21" s="146"/>
      <c r="C21" s="118">
        <v>3050354148</v>
      </c>
      <c r="D21" s="112">
        <v>2847855453.7</v>
      </c>
      <c r="E21" s="119">
        <f>G21-1479921920.98</f>
        <v>390718603.80999994</v>
      </c>
      <c r="F21" s="23">
        <f t="shared" si="0"/>
        <v>13.719748426921363</v>
      </c>
      <c r="G21" s="175">
        <v>1870640524.79</v>
      </c>
      <c r="H21" s="176"/>
      <c r="I21" s="23">
        <f t="shared" si="1"/>
        <v>65.68593649511321</v>
      </c>
      <c r="J21" s="147">
        <f t="shared" si="2"/>
        <v>977214928.9099998</v>
      </c>
      <c r="K21" s="148"/>
      <c r="L21" s="148"/>
    </row>
    <row r="22" spans="1:12" s="3" customFormat="1" ht="15.75" customHeight="1">
      <c r="A22" s="199" t="s">
        <v>141</v>
      </c>
      <c r="B22" s="199"/>
      <c r="C22" s="118">
        <v>0</v>
      </c>
      <c r="D22" s="112">
        <v>0</v>
      </c>
      <c r="E22" s="119">
        <f>G22-0</f>
        <v>0</v>
      </c>
      <c r="F22" s="23">
        <v>0</v>
      </c>
      <c r="G22" s="189">
        <v>0</v>
      </c>
      <c r="H22" s="190"/>
      <c r="I22" s="23">
        <v>0</v>
      </c>
      <c r="J22" s="147">
        <f t="shared" si="2"/>
        <v>0</v>
      </c>
      <c r="K22" s="148"/>
      <c r="L22" s="148"/>
    </row>
    <row r="23" spans="1:13" s="3" customFormat="1" ht="17.25" customHeight="1">
      <c r="A23" s="146" t="s">
        <v>38</v>
      </c>
      <c r="B23" s="146"/>
      <c r="C23" s="118">
        <f>C25+C24+C26+C27</f>
        <v>3056775494</v>
      </c>
      <c r="D23" s="112">
        <f>D25+D24+D26+D27</f>
        <v>3056775494</v>
      </c>
      <c r="E23" s="119">
        <f>E25+E24+E26+E27</f>
        <v>479136169.35000014</v>
      </c>
      <c r="F23" s="23">
        <f t="shared" si="0"/>
        <v>15.67456197847941</v>
      </c>
      <c r="G23" s="189">
        <f>SUM(G24:H27)</f>
        <v>2164820438.63</v>
      </c>
      <c r="H23" s="190"/>
      <c r="I23" s="23">
        <f t="shared" si="1"/>
        <v>70.82039367559783</v>
      </c>
      <c r="J23" s="147">
        <f t="shared" si="2"/>
        <v>891955055.3699999</v>
      </c>
      <c r="K23" s="148"/>
      <c r="L23" s="148"/>
      <c r="M23" s="19"/>
    </row>
    <row r="24" spans="1:12" s="3" customFormat="1" ht="15.75" customHeight="1">
      <c r="A24" s="146" t="s">
        <v>39</v>
      </c>
      <c r="B24" s="146"/>
      <c r="C24" s="118">
        <v>3056775494</v>
      </c>
      <c r="D24" s="112">
        <v>3056775494</v>
      </c>
      <c r="E24" s="119">
        <f>G24-1685684269.28</f>
        <v>479136169.35000014</v>
      </c>
      <c r="F24" s="23">
        <f t="shared" si="0"/>
        <v>15.67456197847941</v>
      </c>
      <c r="G24" s="175">
        <v>2164820438.63</v>
      </c>
      <c r="H24" s="176"/>
      <c r="I24" s="23">
        <f t="shared" si="1"/>
        <v>70.82039367559783</v>
      </c>
      <c r="J24" s="147">
        <f t="shared" si="2"/>
        <v>891955055.3699999</v>
      </c>
      <c r="K24" s="148"/>
      <c r="L24" s="148"/>
    </row>
    <row r="25" spans="1:12" s="3" customFormat="1" ht="15.75" customHeight="1">
      <c r="A25" s="146" t="s">
        <v>99</v>
      </c>
      <c r="B25" s="146"/>
      <c r="C25" s="118">
        <v>0</v>
      </c>
      <c r="D25" s="112">
        <v>0</v>
      </c>
      <c r="E25" s="119">
        <f>G25-0</f>
        <v>0</v>
      </c>
      <c r="F25" s="23">
        <v>0</v>
      </c>
      <c r="G25" s="189">
        <v>0</v>
      </c>
      <c r="H25" s="190"/>
      <c r="I25" s="23">
        <v>0</v>
      </c>
      <c r="J25" s="147">
        <f t="shared" si="2"/>
        <v>0</v>
      </c>
      <c r="K25" s="148"/>
      <c r="L25" s="148"/>
    </row>
    <row r="26" spans="1:12" s="3" customFormat="1" ht="15.75" customHeight="1">
      <c r="A26" s="146" t="s">
        <v>117</v>
      </c>
      <c r="B26" s="146"/>
      <c r="C26" s="118">
        <v>0</v>
      </c>
      <c r="D26" s="112">
        <v>0</v>
      </c>
      <c r="E26" s="119">
        <f>G26-0</f>
        <v>0</v>
      </c>
      <c r="F26" s="23">
        <v>0</v>
      </c>
      <c r="G26" s="189">
        <v>0</v>
      </c>
      <c r="H26" s="190"/>
      <c r="I26" s="23">
        <v>0</v>
      </c>
      <c r="J26" s="149">
        <f t="shared" si="2"/>
        <v>0</v>
      </c>
      <c r="K26" s="157"/>
      <c r="L26" s="157"/>
    </row>
    <row r="27" spans="1:12" s="3" customFormat="1" ht="15.75" customHeight="1">
      <c r="A27" s="146" t="s">
        <v>118</v>
      </c>
      <c r="B27" s="146"/>
      <c r="C27" s="118">
        <v>0</v>
      </c>
      <c r="D27" s="112">
        <v>0</v>
      </c>
      <c r="E27" s="119">
        <f>G27-0</f>
        <v>0</v>
      </c>
      <c r="F27" s="23">
        <v>0</v>
      </c>
      <c r="G27" s="189">
        <v>0</v>
      </c>
      <c r="H27" s="190"/>
      <c r="I27" s="23">
        <v>0</v>
      </c>
      <c r="J27" s="149">
        <f t="shared" si="2"/>
        <v>0</v>
      </c>
      <c r="K27" s="157"/>
      <c r="L27" s="157"/>
    </row>
    <row r="28" spans="1:13" s="3" customFormat="1" ht="15.75" customHeight="1">
      <c r="A28" s="146" t="s">
        <v>40</v>
      </c>
      <c r="B28" s="146"/>
      <c r="C28" s="118">
        <f>SUM(C29:C35)</f>
        <v>14438345048</v>
      </c>
      <c r="D28" s="112">
        <f>SUM(D29:D35)</f>
        <v>11558584606.14</v>
      </c>
      <c r="E28" s="119">
        <f>SUM(E29:E35)</f>
        <v>1516588071.4700003</v>
      </c>
      <c r="F28" s="23">
        <f t="shared" si="0"/>
        <v>13.120880481026875</v>
      </c>
      <c r="G28" s="189">
        <f>SUM(G29:H35)</f>
        <v>9133690974.89</v>
      </c>
      <c r="H28" s="190">
        <f>SUM(H29:H35)</f>
        <v>0</v>
      </c>
      <c r="I28" s="23">
        <f t="shared" si="1"/>
        <v>79.02084282913083</v>
      </c>
      <c r="J28" s="147">
        <f t="shared" si="2"/>
        <v>2424893631.25</v>
      </c>
      <c r="K28" s="148"/>
      <c r="L28" s="148"/>
      <c r="M28" s="24"/>
    </row>
    <row r="29" spans="1:12" s="3" customFormat="1" ht="15.75" customHeight="1">
      <c r="A29" s="146" t="s">
        <v>119</v>
      </c>
      <c r="B29" s="146"/>
      <c r="C29" s="118">
        <v>78501822</v>
      </c>
      <c r="D29" s="112">
        <v>76111663.49</v>
      </c>
      <c r="E29" s="119">
        <f>G29-40865479.38</f>
        <v>9648328.779999994</v>
      </c>
      <c r="F29" s="23">
        <f t="shared" si="0"/>
        <v>12.67654435284764</v>
      </c>
      <c r="G29" s="175">
        <v>50513808.16</v>
      </c>
      <c r="H29" s="176"/>
      <c r="I29" s="23">
        <f t="shared" si="1"/>
        <v>66.36802540340851</v>
      </c>
      <c r="J29" s="147">
        <f t="shared" si="2"/>
        <v>25597855.33</v>
      </c>
      <c r="K29" s="148"/>
      <c r="L29" s="148"/>
    </row>
    <row r="30" spans="1:12" s="3" customFormat="1" ht="15.75" customHeight="1">
      <c r="A30" s="146" t="s">
        <v>120</v>
      </c>
      <c r="B30" s="146"/>
      <c r="C30" s="118">
        <v>264086854</v>
      </c>
      <c r="D30" s="112">
        <v>405480550.74</v>
      </c>
      <c r="E30" s="119">
        <f>G30-384380713.31</f>
        <v>6747560.839999974</v>
      </c>
      <c r="F30" s="23">
        <f t="shared" si="0"/>
        <v>1.6640898873412568</v>
      </c>
      <c r="G30" s="175">
        <v>391128274.15</v>
      </c>
      <c r="H30" s="176"/>
      <c r="I30" s="23">
        <f t="shared" si="1"/>
        <v>96.46042786422008</v>
      </c>
      <c r="J30" s="147">
        <f t="shared" si="2"/>
        <v>14352276.590000033</v>
      </c>
      <c r="K30" s="148"/>
      <c r="L30" s="148"/>
    </row>
    <row r="31" spans="1:12" s="3" customFormat="1" ht="15.75" customHeight="1">
      <c r="A31" s="146" t="s">
        <v>123</v>
      </c>
      <c r="B31" s="146"/>
      <c r="C31" s="118">
        <v>19616847</v>
      </c>
      <c r="D31" s="112">
        <v>19733932.9</v>
      </c>
      <c r="E31" s="119">
        <f>G31-9880139.12</f>
        <v>2302737.92</v>
      </c>
      <c r="F31" s="23">
        <f t="shared" si="0"/>
        <v>11.668925457834105</v>
      </c>
      <c r="G31" s="175">
        <v>12182877.04</v>
      </c>
      <c r="H31" s="176"/>
      <c r="I31" s="23">
        <f t="shared" si="1"/>
        <v>61.735676824967825</v>
      </c>
      <c r="J31" s="147">
        <f t="shared" si="2"/>
        <v>7551055.859999999</v>
      </c>
      <c r="K31" s="148"/>
      <c r="L31" s="148"/>
    </row>
    <row r="32" spans="1:12" s="3" customFormat="1" ht="15.75" customHeight="1">
      <c r="A32" s="146" t="s">
        <v>121</v>
      </c>
      <c r="B32" s="146"/>
      <c r="C32" s="118">
        <v>70440482</v>
      </c>
      <c r="D32" s="112">
        <v>67587061.2</v>
      </c>
      <c r="E32" s="119">
        <f>G32-46585215.86</f>
        <v>11409027</v>
      </c>
      <c r="F32" s="23">
        <f t="shared" si="0"/>
        <v>16.88048984144912</v>
      </c>
      <c r="G32" s="175">
        <v>57994242.86</v>
      </c>
      <c r="H32" s="176"/>
      <c r="I32" s="23">
        <f t="shared" si="1"/>
        <v>85.80672369876618</v>
      </c>
      <c r="J32" s="147">
        <f t="shared" si="2"/>
        <v>9592818.340000004</v>
      </c>
      <c r="K32" s="148"/>
      <c r="L32" s="148"/>
    </row>
    <row r="33" spans="1:12" s="3" customFormat="1" ht="15.75" customHeight="1">
      <c r="A33" s="146" t="s">
        <v>122</v>
      </c>
      <c r="B33" s="146"/>
      <c r="C33" s="118">
        <v>0</v>
      </c>
      <c r="D33" s="112">
        <v>0</v>
      </c>
      <c r="E33" s="119">
        <f>G33-0</f>
        <v>0</v>
      </c>
      <c r="F33" s="23">
        <v>0</v>
      </c>
      <c r="G33" s="175">
        <v>0</v>
      </c>
      <c r="H33" s="176"/>
      <c r="I33" s="23">
        <v>0</v>
      </c>
      <c r="J33" s="147">
        <f t="shared" si="2"/>
        <v>0</v>
      </c>
      <c r="K33" s="148"/>
      <c r="L33" s="148"/>
    </row>
    <row r="34" spans="1:12" s="3" customFormat="1" ht="15.75" customHeight="1">
      <c r="A34" s="146" t="s">
        <v>125</v>
      </c>
      <c r="B34" s="146"/>
      <c r="C34" s="118">
        <v>0</v>
      </c>
      <c r="D34" s="112">
        <v>0</v>
      </c>
      <c r="E34" s="119">
        <f>G34-0</f>
        <v>0</v>
      </c>
      <c r="F34" s="23">
        <v>0</v>
      </c>
      <c r="G34" s="175">
        <v>0</v>
      </c>
      <c r="H34" s="176"/>
      <c r="I34" s="23">
        <v>0</v>
      </c>
      <c r="J34" s="147">
        <f t="shared" si="2"/>
        <v>0</v>
      </c>
      <c r="K34" s="148"/>
      <c r="L34" s="148"/>
    </row>
    <row r="35" spans="1:12" s="3" customFormat="1" ht="15.75" customHeight="1">
      <c r="A35" s="146" t="s">
        <v>124</v>
      </c>
      <c r="B35" s="146"/>
      <c r="C35" s="118">
        <v>14005699043</v>
      </c>
      <c r="D35" s="112">
        <v>10989671397.81</v>
      </c>
      <c r="E35" s="119">
        <f>G35-7135391355.75</f>
        <v>1486480416.9300003</v>
      </c>
      <c r="F35" s="23">
        <f t="shared" si="0"/>
        <v>13.526158909776168</v>
      </c>
      <c r="G35" s="175">
        <v>8621871772.68</v>
      </c>
      <c r="H35" s="176"/>
      <c r="I35" s="23">
        <f t="shared" si="1"/>
        <v>78.45431824647778</v>
      </c>
      <c r="J35" s="147">
        <f t="shared" si="2"/>
        <v>2367799625.129999</v>
      </c>
      <c r="K35" s="148"/>
      <c r="L35" s="148"/>
    </row>
    <row r="36" spans="1:13" s="3" customFormat="1" ht="15.75" customHeight="1">
      <c r="A36" s="146" t="s">
        <v>41</v>
      </c>
      <c r="B36" s="146"/>
      <c r="C36" s="118">
        <v>160150</v>
      </c>
      <c r="D36" s="112">
        <v>160150</v>
      </c>
      <c r="E36" s="119">
        <f>G36-6388</f>
        <v>460</v>
      </c>
      <c r="F36" s="23">
        <f t="shared" si="0"/>
        <v>0.28723072119887605</v>
      </c>
      <c r="G36" s="175">
        <v>6848</v>
      </c>
      <c r="H36" s="176"/>
      <c r="I36" s="23">
        <f t="shared" si="1"/>
        <v>4.275991258195442</v>
      </c>
      <c r="J36" s="147">
        <f t="shared" si="2"/>
        <v>153302</v>
      </c>
      <c r="K36" s="148"/>
      <c r="L36" s="148"/>
      <c r="M36" s="19"/>
    </row>
    <row r="37" spans="1:13" s="3" customFormat="1" ht="15.75" customHeight="1">
      <c r="A37" s="146" t="s">
        <v>42</v>
      </c>
      <c r="B37" s="146"/>
      <c r="C37" s="118">
        <v>91704674</v>
      </c>
      <c r="D37" s="112">
        <v>91704674</v>
      </c>
      <c r="E37" s="119">
        <f>G37-22364657.13</f>
        <v>9980.730000000447</v>
      </c>
      <c r="F37" s="23">
        <f t="shared" si="0"/>
        <v>0.010883556491352281</v>
      </c>
      <c r="G37" s="175">
        <v>22374637.86</v>
      </c>
      <c r="H37" s="176"/>
      <c r="I37" s="23">
        <f t="shared" si="1"/>
        <v>24.398579575126124</v>
      </c>
      <c r="J37" s="147">
        <f t="shared" si="2"/>
        <v>69330036.14</v>
      </c>
      <c r="K37" s="148"/>
      <c r="L37" s="148"/>
      <c r="M37" s="19"/>
    </row>
    <row r="38" spans="1:13" s="3" customFormat="1" ht="15.75" customHeight="1">
      <c r="A38" s="146" t="s">
        <v>43</v>
      </c>
      <c r="B38" s="146"/>
      <c r="C38" s="118">
        <f>SUM(C39:C43)</f>
        <v>381449580</v>
      </c>
      <c r="D38" s="112">
        <f>SUM(D39:D43)</f>
        <v>377732389.70000005</v>
      </c>
      <c r="E38" s="119">
        <f>SUM(E39:E43)</f>
        <v>45638456.760000005</v>
      </c>
      <c r="F38" s="23">
        <f t="shared" si="0"/>
        <v>12.082219583088085</v>
      </c>
      <c r="G38" s="189">
        <f>SUM(G39:H43)</f>
        <v>217884616.76</v>
      </c>
      <c r="H38" s="190"/>
      <c r="I38" s="23">
        <f t="shared" si="1"/>
        <v>57.682269961823174</v>
      </c>
      <c r="J38" s="147">
        <f t="shared" si="2"/>
        <v>159847772.94000006</v>
      </c>
      <c r="K38" s="148"/>
      <c r="L38" s="148"/>
      <c r="M38" s="19"/>
    </row>
    <row r="39" spans="1:12" s="3" customFormat="1" ht="15.75" customHeight="1">
      <c r="A39" s="146" t="s">
        <v>112</v>
      </c>
      <c r="B39" s="146"/>
      <c r="C39" s="118">
        <v>214871828</v>
      </c>
      <c r="D39" s="112">
        <v>214873405.3</v>
      </c>
      <c r="E39" s="119">
        <f>G39-108012127.1</f>
        <v>31886510.03</v>
      </c>
      <c r="F39" s="23">
        <f t="shared" si="0"/>
        <v>14.839672683309029</v>
      </c>
      <c r="G39" s="175">
        <v>139898637.13</v>
      </c>
      <c r="H39" s="176"/>
      <c r="I39" s="23">
        <f t="shared" si="1"/>
        <v>65.10746964459263</v>
      </c>
      <c r="J39" s="147">
        <f t="shared" si="2"/>
        <v>74974768.17000002</v>
      </c>
      <c r="K39" s="148"/>
      <c r="L39" s="148"/>
    </row>
    <row r="40" spans="1:12" s="3" customFormat="1" ht="15.75" customHeight="1">
      <c r="A40" s="146" t="s">
        <v>113</v>
      </c>
      <c r="B40" s="146"/>
      <c r="C40" s="118">
        <v>29118080</v>
      </c>
      <c r="D40" s="112">
        <v>29118080</v>
      </c>
      <c r="E40" s="119">
        <f>G40-7211567.33</f>
        <v>1443273.0500000007</v>
      </c>
      <c r="F40" s="23">
        <f t="shared" si="0"/>
        <v>4.95662162477746</v>
      </c>
      <c r="G40" s="175">
        <v>8654840.38</v>
      </c>
      <c r="H40" s="176"/>
      <c r="I40" s="23">
        <f t="shared" si="1"/>
        <v>29.72325228861244</v>
      </c>
      <c r="J40" s="149">
        <f t="shared" si="2"/>
        <v>20463239.619999997</v>
      </c>
      <c r="K40" s="157"/>
      <c r="L40" s="157"/>
    </row>
    <row r="41" spans="1:12" s="3" customFormat="1" ht="15.75" customHeight="1">
      <c r="A41" s="146" t="s">
        <v>114</v>
      </c>
      <c r="B41" s="146"/>
      <c r="C41" s="118">
        <v>69811021</v>
      </c>
      <c r="D41" s="112">
        <v>69811021</v>
      </c>
      <c r="E41" s="119">
        <f>G41-44999703.22</f>
        <v>9216636.840000004</v>
      </c>
      <c r="F41" s="23">
        <f t="shared" si="0"/>
        <v>13.202266215244157</v>
      </c>
      <c r="G41" s="175">
        <v>54216340.06</v>
      </c>
      <c r="H41" s="176"/>
      <c r="I41" s="23">
        <f t="shared" si="1"/>
        <v>77.6615773317511</v>
      </c>
      <c r="J41" s="149">
        <f t="shared" si="2"/>
        <v>15594680.939999998</v>
      </c>
      <c r="K41" s="157"/>
      <c r="L41" s="157"/>
    </row>
    <row r="42" spans="1:12" s="3" customFormat="1" ht="15.75" customHeight="1">
      <c r="A42" s="146" t="s">
        <v>115</v>
      </c>
      <c r="B42" s="146"/>
      <c r="C42" s="118">
        <v>30921641</v>
      </c>
      <c r="D42" s="112">
        <v>26671902.29</v>
      </c>
      <c r="E42" s="119">
        <f>G42-3096924.09</f>
        <v>598093.6699999999</v>
      </c>
      <c r="F42" s="23">
        <f t="shared" si="0"/>
        <v>2.2424109967748382</v>
      </c>
      <c r="G42" s="175">
        <v>3695017.76</v>
      </c>
      <c r="H42" s="176"/>
      <c r="I42" s="23">
        <f t="shared" si="1"/>
        <v>13.8535966419814</v>
      </c>
      <c r="J42" s="149">
        <f t="shared" si="2"/>
        <v>22976884.53</v>
      </c>
      <c r="K42" s="157"/>
      <c r="L42" s="157"/>
    </row>
    <row r="43" spans="1:12" s="3" customFormat="1" ht="15.75" customHeight="1">
      <c r="A43" s="146" t="s">
        <v>116</v>
      </c>
      <c r="B43" s="146"/>
      <c r="C43" s="118">
        <v>36727010</v>
      </c>
      <c r="D43" s="112">
        <v>37257981.11</v>
      </c>
      <c r="E43" s="119">
        <f>G43-8925838.26</f>
        <v>2493943.17</v>
      </c>
      <c r="F43" s="23">
        <f t="shared" si="0"/>
        <v>6.69371526770845</v>
      </c>
      <c r="G43" s="175">
        <v>11419781.43</v>
      </c>
      <c r="H43" s="176"/>
      <c r="I43" s="23">
        <f t="shared" si="1"/>
        <v>30.650564227525855</v>
      </c>
      <c r="J43" s="149">
        <f t="shared" si="2"/>
        <v>25838199.68</v>
      </c>
      <c r="K43" s="157"/>
      <c r="L43" s="157"/>
    </row>
    <row r="44" spans="1:13" s="3" customFormat="1" ht="15.75" customHeight="1">
      <c r="A44" s="146" t="s">
        <v>44</v>
      </c>
      <c r="B44" s="146"/>
      <c r="C44" s="118">
        <f>SUM(C45:C52)</f>
        <v>7669450586</v>
      </c>
      <c r="D44" s="112">
        <f>SUM(D45:D52)</f>
        <v>8809904468.310001</v>
      </c>
      <c r="E44" s="119">
        <f>SUM(E45:E52)</f>
        <v>1781654919.2699997</v>
      </c>
      <c r="F44" s="23">
        <f aca="true" t="shared" si="3" ref="F44:F82">(E44/D44)*100</f>
        <v>20.2233171276575</v>
      </c>
      <c r="G44" s="189">
        <f>SUM(G45:H52)</f>
        <v>7861517531.63</v>
      </c>
      <c r="H44" s="190">
        <f>SUM(H45:H49)</f>
        <v>0</v>
      </c>
      <c r="I44" s="23">
        <f t="shared" si="1"/>
        <v>89.23499181981562</v>
      </c>
      <c r="J44" s="147">
        <f t="shared" si="2"/>
        <v>948386936.6800013</v>
      </c>
      <c r="K44" s="148"/>
      <c r="L44" s="148"/>
      <c r="M44" s="19"/>
    </row>
    <row r="45" spans="1:12" s="3" customFormat="1" ht="15.75" customHeight="1">
      <c r="A45" s="146" t="s">
        <v>107</v>
      </c>
      <c r="B45" s="146"/>
      <c r="C45" s="118">
        <v>4698811550</v>
      </c>
      <c r="D45" s="112">
        <v>5839265432.31</v>
      </c>
      <c r="E45" s="119">
        <f>G45-4264144509.8</f>
        <v>1298690210.75</v>
      </c>
      <c r="F45" s="23">
        <f t="shared" si="3"/>
        <v>22.240643550198076</v>
      </c>
      <c r="G45" s="175">
        <v>5562834720.55</v>
      </c>
      <c r="H45" s="176"/>
      <c r="I45" s="23">
        <f t="shared" si="1"/>
        <v>95.2660019489704</v>
      </c>
      <c r="J45" s="147">
        <f t="shared" si="2"/>
        <v>276430711.7600002</v>
      </c>
      <c r="K45" s="148"/>
      <c r="L45" s="148"/>
    </row>
    <row r="46" spans="1:12" s="3" customFormat="1" ht="15.75" customHeight="1">
      <c r="A46" s="146" t="s">
        <v>108</v>
      </c>
      <c r="B46" s="146"/>
      <c r="C46" s="118">
        <v>0</v>
      </c>
      <c r="D46" s="112">
        <v>0</v>
      </c>
      <c r="E46" s="119">
        <f>G46-312463.24</f>
        <v>-303663.24</v>
      </c>
      <c r="F46" s="23">
        <v>0</v>
      </c>
      <c r="G46" s="175">
        <v>8800</v>
      </c>
      <c r="H46" s="176"/>
      <c r="I46" s="23">
        <v>0</v>
      </c>
      <c r="J46" s="147">
        <f t="shared" si="2"/>
        <v>-8800</v>
      </c>
      <c r="K46" s="148"/>
      <c r="L46" s="148"/>
    </row>
    <row r="47" spans="1:12" s="3" customFormat="1" ht="15.75" customHeight="1">
      <c r="A47" s="146" t="s">
        <v>109</v>
      </c>
      <c r="B47" s="146"/>
      <c r="C47" s="118">
        <v>63622628</v>
      </c>
      <c r="D47" s="112">
        <v>63622628</v>
      </c>
      <c r="E47" s="119">
        <f>G47-54373661.34</f>
        <v>14482549.039999992</v>
      </c>
      <c r="F47" s="23">
        <f t="shared" si="3"/>
        <v>22.763204688746892</v>
      </c>
      <c r="G47" s="175">
        <v>68856210.38</v>
      </c>
      <c r="H47" s="176"/>
      <c r="I47" s="23">
        <f t="shared" si="1"/>
        <v>108.2259764246142</v>
      </c>
      <c r="J47" s="147">
        <f t="shared" si="2"/>
        <v>-5233582.379999995</v>
      </c>
      <c r="K47" s="148"/>
      <c r="L47" s="148"/>
    </row>
    <row r="48" spans="1:12" s="3" customFormat="1" ht="15.75" customHeight="1">
      <c r="A48" s="146" t="s">
        <v>45</v>
      </c>
      <c r="B48" s="146"/>
      <c r="C48" s="118">
        <v>33349815</v>
      </c>
      <c r="D48" s="112">
        <v>33349815</v>
      </c>
      <c r="E48" s="119">
        <f>G48-10902807.34</f>
        <v>288066.9299999997</v>
      </c>
      <c r="F48" s="23">
        <f t="shared" si="3"/>
        <v>0.8637736970954702</v>
      </c>
      <c r="G48" s="175">
        <v>11190874.27</v>
      </c>
      <c r="H48" s="176"/>
      <c r="I48" s="23">
        <f t="shared" si="1"/>
        <v>33.55603103045699</v>
      </c>
      <c r="J48" s="147">
        <f t="shared" si="2"/>
        <v>22158940.73</v>
      </c>
      <c r="K48" s="148"/>
      <c r="L48" s="148"/>
    </row>
    <row r="49" spans="1:12" s="3" customFormat="1" ht="15.75" customHeight="1">
      <c r="A49" s="146" t="s">
        <v>91</v>
      </c>
      <c r="B49" s="146"/>
      <c r="C49" s="118">
        <v>2873646593</v>
      </c>
      <c r="D49" s="112">
        <v>2873646593</v>
      </c>
      <c r="E49" s="119">
        <f>G49-1743890671.26</f>
        <v>468474323.9599998</v>
      </c>
      <c r="F49" s="23">
        <f t="shared" si="3"/>
        <v>16.302433469069236</v>
      </c>
      <c r="G49" s="175">
        <v>2212364995.22</v>
      </c>
      <c r="H49" s="176"/>
      <c r="I49" s="23">
        <f t="shared" si="1"/>
        <v>76.98806807382525</v>
      </c>
      <c r="J49" s="147">
        <f t="shared" si="2"/>
        <v>661281597.7800002</v>
      </c>
      <c r="K49" s="148"/>
      <c r="L49" s="148"/>
    </row>
    <row r="50" spans="1:12" s="3" customFormat="1" ht="15.75" customHeight="1">
      <c r="A50" s="146" t="s">
        <v>46</v>
      </c>
      <c r="B50" s="146"/>
      <c r="C50" s="20">
        <v>0</v>
      </c>
      <c r="D50" s="112">
        <v>0</v>
      </c>
      <c r="E50" s="119">
        <f>G50-2406.15</f>
        <v>0</v>
      </c>
      <c r="F50" s="23">
        <v>0</v>
      </c>
      <c r="G50" s="149">
        <v>2406.15</v>
      </c>
      <c r="H50" s="150"/>
      <c r="I50" s="23">
        <v>0</v>
      </c>
      <c r="J50" s="149">
        <f t="shared" si="2"/>
        <v>-2406.15</v>
      </c>
      <c r="K50" s="157"/>
      <c r="L50" s="157"/>
    </row>
    <row r="51" spans="1:12" s="3" customFormat="1" ht="15.75" customHeight="1">
      <c r="A51" s="146" t="s">
        <v>110</v>
      </c>
      <c r="B51" s="146"/>
      <c r="C51" s="118">
        <v>20000</v>
      </c>
      <c r="D51" s="112">
        <v>20000</v>
      </c>
      <c r="E51" s="119">
        <f>G51-6236093.23</f>
        <v>23431.829999999143</v>
      </c>
      <c r="F51" s="23">
        <f t="shared" si="3"/>
        <v>117.15914999999572</v>
      </c>
      <c r="G51" s="175">
        <v>6259525.06</v>
      </c>
      <c r="H51" s="176"/>
      <c r="I51" s="23">
        <f t="shared" si="1"/>
        <v>31297.6253</v>
      </c>
      <c r="J51" s="149">
        <f t="shared" si="2"/>
        <v>-6239525.06</v>
      </c>
      <c r="K51" s="157"/>
      <c r="L51" s="157"/>
    </row>
    <row r="52" spans="1:12" s="3" customFormat="1" ht="15.75" customHeight="1">
      <c r="A52" s="146" t="s">
        <v>111</v>
      </c>
      <c r="B52" s="146"/>
      <c r="C52" s="118">
        <v>0</v>
      </c>
      <c r="D52" s="112">
        <v>0</v>
      </c>
      <c r="E52" s="119">
        <f>G52-0</f>
        <v>0</v>
      </c>
      <c r="F52" s="23">
        <v>0</v>
      </c>
      <c r="G52" s="175">
        <v>0</v>
      </c>
      <c r="H52" s="176"/>
      <c r="I52" s="23">
        <v>0</v>
      </c>
      <c r="J52" s="149">
        <f t="shared" si="2"/>
        <v>0</v>
      </c>
      <c r="K52" s="157"/>
      <c r="L52" s="157"/>
    </row>
    <row r="53" spans="1:13" s="3" customFormat="1" ht="15.75" customHeight="1">
      <c r="A53" s="146" t="s">
        <v>47</v>
      </c>
      <c r="B53" s="146"/>
      <c r="C53" s="118">
        <f>SUM(C54:C57)</f>
        <v>1428183486</v>
      </c>
      <c r="D53" s="112">
        <f>SUM(D54:D57)</f>
        <v>1512681741.48</v>
      </c>
      <c r="E53" s="119">
        <f>SUM(E54:E57)</f>
        <v>287653967.56999993</v>
      </c>
      <c r="F53" s="23">
        <f t="shared" si="3"/>
        <v>19.016159161712416</v>
      </c>
      <c r="G53" s="149">
        <f>SUM(G54:H57)</f>
        <v>1263332093.4299998</v>
      </c>
      <c r="H53" s="150">
        <f>SUM(H54:H57)</f>
        <v>0</v>
      </c>
      <c r="I53" s="23">
        <f t="shared" si="1"/>
        <v>83.51605356153517</v>
      </c>
      <c r="J53" s="147">
        <f t="shared" si="2"/>
        <v>249349648.0500002</v>
      </c>
      <c r="K53" s="148"/>
      <c r="L53" s="148"/>
      <c r="M53" s="25"/>
    </row>
    <row r="54" spans="1:12" s="3" customFormat="1" ht="15.75" customHeight="1">
      <c r="A54" s="146" t="s">
        <v>103</v>
      </c>
      <c r="B54" s="146"/>
      <c r="C54" s="118">
        <v>369151641</v>
      </c>
      <c r="D54" s="112">
        <v>330827532.9</v>
      </c>
      <c r="E54" s="119">
        <f>G54-211039088.27</f>
        <v>84988080.08000001</v>
      </c>
      <c r="F54" s="23">
        <f t="shared" si="3"/>
        <v>25.68954262512654</v>
      </c>
      <c r="G54" s="149">
        <v>296027168.35</v>
      </c>
      <c r="H54" s="150"/>
      <c r="I54" s="23">
        <f t="shared" si="1"/>
        <v>89.48081369015948</v>
      </c>
      <c r="J54" s="147">
        <f t="shared" si="2"/>
        <v>34800364.54999995</v>
      </c>
      <c r="K54" s="148"/>
      <c r="L54" s="148"/>
    </row>
    <row r="55" spans="1:12" s="3" customFormat="1" ht="15.75" customHeight="1">
      <c r="A55" s="146" t="s">
        <v>104</v>
      </c>
      <c r="B55" s="146"/>
      <c r="C55" s="118">
        <v>254946418</v>
      </c>
      <c r="D55" s="112">
        <v>395457752.81</v>
      </c>
      <c r="E55" s="119">
        <f>G55-381818499.91</f>
        <v>102292010.28999996</v>
      </c>
      <c r="F55" s="23">
        <f t="shared" si="3"/>
        <v>25.866735337250233</v>
      </c>
      <c r="G55" s="149">
        <v>484110510.2</v>
      </c>
      <c r="H55" s="150"/>
      <c r="I55" s="23">
        <f t="shared" si="1"/>
        <v>122.41775682991698</v>
      </c>
      <c r="J55" s="147">
        <f t="shared" si="2"/>
        <v>-88652757.38999999</v>
      </c>
      <c r="K55" s="148"/>
      <c r="L55" s="148"/>
    </row>
    <row r="56" spans="1:12" s="3" customFormat="1" ht="15.75" customHeight="1">
      <c r="A56" s="146" t="s">
        <v>105</v>
      </c>
      <c r="B56" s="146"/>
      <c r="C56" s="118">
        <v>100000</v>
      </c>
      <c r="D56" s="23">
        <v>100000</v>
      </c>
      <c r="E56" s="119">
        <f>G56-15427</f>
        <v>1850</v>
      </c>
      <c r="F56" s="23">
        <f t="shared" si="3"/>
        <v>1.8499999999999999</v>
      </c>
      <c r="G56" s="149">
        <v>17277</v>
      </c>
      <c r="H56" s="150"/>
      <c r="I56" s="23">
        <f t="shared" si="1"/>
        <v>17.277</v>
      </c>
      <c r="J56" s="147">
        <f t="shared" si="2"/>
        <v>82723</v>
      </c>
      <c r="K56" s="148"/>
      <c r="L56" s="148"/>
    </row>
    <row r="57" spans="1:12" s="3" customFormat="1" ht="15.75" customHeight="1">
      <c r="A57" s="146" t="s">
        <v>106</v>
      </c>
      <c r="B57" s="146"/>
      <c r="C57" s="118">
        <v>803985427</v>
      </c>
      <c r="D57" s="118">
        <v>786296455.77</v>
      </c>
      <c r="E57" s="119">
        <f>G57-382805110.68</f>
        <v>100372027.19999999</v>
      </c>
      <c r="F57" s="23">
        <f t="shared" si="3"/>
        <v>12.765163376160487</v>
      </c>
      <c r="G57" s="149">
        <v>483177137.88</v>
      </c>
      <c r="H57" s="150"/>
      <c r="I57" s="23">
        <f t="shared" si="1"/>
        <v>61.44974129469234</v>
      </c>
      <c r="J57" s="147">
        <f t="shared" si="2"/>
        <v>303119317.89</v>
      </c>
      <c r="K57" s="148"/>
      <c r="L57" s="148"/>
    </row>
    <row r="58" spans="1:13" s="3" customFormat="1" ht="15.75" customHeight="1">
      <c r="A58" s="183" t="s">
        <v>48</v>
      </c>
      <c r="B58" s="183"/>
      <c r="C58" s="116">
        <f>C59+C62+C66+C67+C76</f>
        <v>1264211056</v>
      </c>
      <c r="D58" s="117">
        <f>D59+D62+D66+D67+D76</f>
        <v>1193911659.63</v>
      </c>
      <c r="E58" s="115">
        <f>E59+E62+E66+E67+E76</f>
        <v>25962777.18999999</v>
      </c>
      <c r="F58" s="18">
        <f t="shared" si="3"/>
        <v>2.1745978423601287</v>
      </c>
      <c r="G58" s="200">
        <f>G59+G62+G66+G67+G76</f>
        <v>128375793.58</v>
      </c>
      <c r="H58" s="201"/>
      <c r="I58" s="18">
        <f t="shared" si="1"/>
        <v>10.752537052848982</v>
      </c>
      <c r="J58" s="197">
        <f t="shared" si="2"/>
        <v>1065535866.0500001</v>
      </c>
      <c r="K58" s="198"/>
      <c r="L58" s="198"/>
      <c r="M58" s="17"/>
    </row>
    <row r="59" spans="1:13" s="3" customFormat="1" ht="15.75" customHeight="1">
      <c r="A59" s="146" t="s">
        <v>49</v>
      </c>
      <c r="B59" s="146"/>
      <c r="C59" s="118">
        <f>C60+C61</f>
        <v>738892115</v>
      </c>
      <c r="D59" s="112">
        <f>D60+D61</f>
        <v>667436324.25</v>
      </c>
      <c r="E59" s="119">
        <f>E60+E61</f>
        <v>0</v>
      </c>
      <c r="F59" s="23">
        <f t="shared" si="3"/>
        <v>0</v>
      </c>
      <c r="G59" s="149">
        <f>G60+G61</f>
        <v>139600.22</v>
      </c>
      <c r="H59" s="150"/>
      <c r="I59" s="23">
        <f t="shared" si="1"/>
        <v>0.0209158858947135</v>
      </c>
      <c r="J59" s="147">
        <f t="shared" si="2"/>
        <v>667296724.03</v>
      </c>
      <c r="K59" s="148"/>
      <c r="L59" s="148"/>
      <c r="M59" s="25"/>
    </row>
    <row r="60" spans="1:12" s="3" customFormat="1" ht="15.75" customHeight="1">
      <c r="A60" s="146" t="s">
        <v>126</v>
      </c>
      <c r="B60" s="146"/>
      <c r="C60" s="118">
        <v>594736753</v>
      </c>
      <c r="D60" s="112">
        <v>589457552.7</v>
      </c>
      <c r="E60" s="119">
        <f>G60-0</f>
        <v>0</v>
      </c>
      <c r="F60" s="23">
        <f t="shared" si="3"/>
        <v>0</v>
      </c>
      <c r="G60" s="149">
        <v>0</v>
      </c>
      <c r="H60" s="150"/>
      <c r="I60" s="23">
        <f t="shared" si="1"/>
        <v>0</v>
      </c>
      <c r="J60" s="147">
        <f t="shared" si="2"/>
        <v>589457552.7</v>
      </c>
      <c r="K60" s="148"/>
      <c r="L60" s="148"/>
    </row>
    <row r="61" spans="1:12" s="3" customFormat="1" ht="15.75" customHeight="1">
      <c r="A61" s="146" t="s">
        <v>127</v>
      </c>
      <c r="B61" s="146"/>
      <c r="C61" s="118">
        <v>144155362</v>
      </c>
      <c r="D61" s="112">
        <v>77978771.55</v>
      </c>
      <c r="E61" s="119">
        <f>G61-139600.22</f>
        <v>0</v>
      </c>
      <c r="F61" s="23">
        <f t="shared" si="3"/>
        <v>0</v>
      </c>
      <c r="G61" s="149">
        <v>139600.22</v>
      </c>
      <c r="H61" s="150"/>
      <c r="I61" s="23">
        <f t="shared" si="1"/>
        <v>0.17902336395552002</v>
      </c>
      <c r="J61" s="147">
        <f t="shared" si="2"/>
        <v>77839171.33</v>
      </c>
      <c r="K61" s="148"/>
      <c r="L61" s="148"/>
    </row>
    <row r="62" spans="1:12" s="3" customFormat="1" ht="15.75" customHeight="1">
      <c r="A62" s="146" t="s">
        <v>50</v>
      </c>
      <c r="B62" s="146"/>
      <c r="C62" s="118">
        <f>C63+C64+C65</f>
        <v>60050000</v>
      </c>
      <c r="D62" s="112">
        <f>D63+D64+D65</f>
        <v>60050000</v>
      </c>
      <c r="E62" s="119">
        <f>E63+E64+E65</f>
        <v>0</v>
      </c>
      <c r="F62" s="23">
        <f t="shared" si="3"/>
        <v>0</v>
      </c>
      <c r="G62" s="149">
        <f>SUM(G63:H65)</f>
        <v>0</v>
      </c>
      <c r="H62" s="150"/>
      <c r="I62" s="23">
        <f t="shared" si="1"/>
        <v>0</v>
      </c>
      <c r="J62" s="147">
        <f t="shared" si="2"/>
        <v>60050000</v>
      </c>
      <c r="K62" s="148"/>
      <c r="L62" s="148"/>
    </row>
    <row r="63" spans="1:12" s="3" customFormat="1" ht="15.75" customHeight="1">
      <c r="A63" s="146" t="s">
        <v>51</v>
      </c>
      <c r="B63" s="146"/>
      <c r="C63" s="118">
        <v>50000</v>
      </c>
      <c r="D63" s="112">
        <v>50000</v>
      </c>
      <c r="E63" s="119">
        <f>G63-0</f>
        <v>0</v>
      </c>
      <c r="F63" s="23">
        <f t="shared" si="3"/>
        <v>0</v>
      </c>
      <c r="G63" s="149">
        <v>0</v>
      </c>
      <c r="H63" s="150"/>
      <c r="I63" s="23">
        <f t="shared" si="1"/>
        <v>0</v>
      </c>
      <c r="J63" s="147">
        <f t="shared" si="2"/>
        <v>50000</v>
      </c>
      <c r="K63" s="148"/>
      <c r="L63" s="148"/>
    </row>
    <row r="64" spans="1:12" s="3" customFormat="1" ht="15.75" customHeight="1">
      <c r="A64" s="146" t="s">
        <v>52</v>
      </c>
      <c r="B64" s="146"/>
      <c r="C64" s="118">
        <v>60000000</v>
      </c>
      <c r="D64" s="112">
        <v>60000000</v>
      </c>
      <c r="E64" s="119">
        <f>G64-0</f>
        <v>0</v>
      </c>
      <c r="F64" s="23">
        <f t="shared" si="3"/>
        <v>0</v>
      </c>
      <c r="G64" s="149">
        <v>0</v>
      </c>
      <c r="H64" s="150"/>
      <c r="I64" s="23">
        <f t="shared" si="1"/>
        <v>0</v>
      </c>
      <c r="J64" s="147">
        <f t="shared" si="2"/>
        <v>60000000</v>
      </c>
      <c r="K64" s="148"/>
      <c r="L64" s="148"/>
    </row>
    <row r="65" spans="1:12" s="3" customFormat="1" ht="15.75" customHeight="1">
      <c r="A65" s="146" t="s">
        <v>128</v>
      </c>
      <c r="B65" s="146"/>
      <c r="C65" s="118">
        <v>0</v>
      </c>
      <c r="D65" s="112">
        <v>0</v>
      </c>
      <c r="E65" s="119">
        <f>G65-0</f>
        <v>0</v>
      </c>
      <c r="F65" s="23">
        <v>0</v>
      </c>
      <c r="G65" s="149">
        <v>0</v>
      </c>
      <c r="H65" s="150"/>
      <c r="I65" s="23">
        <v>0</v>
      </c>
      <c r="J65" s="149">
        <f t="shared" si="2"/>
        <v>0</v>
      </c>
      <c r="K65" s="157"/>
      <c r="L65" s="157"/>
    </row>
    <row r="66" spans="1:12" s="3" customFormat="1" ht="15.75" customHeight="1">
      <c r="A66" s="146" t="s">
        <v>53</v>
      </c>
      <c r="B66" s="146"/>
      <c r="C66" s="118">
        <v>80561928</v>
      </c>
      <c r="D66" s="112">
        <v>81718322.38</v>
      </c>
      <c r="E66" s="119">
        <f>G66-77577864.31</f>
        <v>17511158.849999994</v>
      </c>
      <c r="F66" s="23">
        <f t="shared" si="3"/>
        <v>21.428681279788155</v>
      </c>
      <c r="G66" s="149">
        <v>95089023.16</v>
      </c>
      <c r="H66" s="150"/>
      <c r="I66" s="23">
        <f t="shared" si="1"/>
        <v>116.36193743408565</v>
      </c>
      <c r="J66" s="147">
        <f t="shared" si="2"/>
        <v>-13370700.780000001</v>
      </c>
      <c r="K66" s="148"/>
      <c r="L66" s="148"/>
    </row>
    <row r="67" spans="1:12" s="3" customFormat="1" ht="15.75" customHeight="1">
      <c r="A67" s="146" t="s">
        <v>54</v>
      </c>
      <c r="B67" s="146"/>
      <c r="C67" s="118">
        <f>SUM(C68:C75)</f>
        <v>373226613</v>
      </c>
      <c r="D67" s="118">
        <f>SUM(D68:D75)</f>
        <v>373226613</v>
      </c>
      <c r="E67" s="119">
        <f>SUM(E68:E75)</f>
        <v>8451618.339999998</v>
      </c>
      <c r="F67" s="23">
        <f t="shared" si="3"/>
        <v>2.264473659063535</v>
      </c>
      <c r="G67" s="149">
        <f>SUM(G68:G75)</f>
        <v>33147170.2</v>
      </c>
      <c r="H67" s="150">
        <f>SUM(H68:H75)</f>
        <v>0</v>
      </c>
      <c r="I67" s="23">
        <f t="shared" si="1"/>
        <v>8.881245078844364</v>
      </c>
      <c r="J67" s="147">
        <f t="shared" si="2"/>
        <v>340079442.8</v>
      </c>
      <c r="K67" s="148"/>
      <c r="L67" s="148"/>
    </row>
    <row r="68" spans="1:12" s="3" customFormat="1" ht="15.75" customHeight="1">
      <c r="A68" s="146" t="s">
        <v>107</v>
      </c>
      <c r="B68" s="146"/>
      <c r="C68" s="118">
        <v>371606613</v>
      </c>
      <c r="D68" s="112">
        <v>371606613</v>
      </c>
      <c r="E68" s="119">
        <f>G68-24347857.02</f>
        <v>8428588.559999999</v>
      </c>
      <c r="F68" s="23">
        <f t="shared" si="3"/>
        <v>2.2681481612922747</v>
      </c>
      <c r="G68" s="149">
        <v>32776445.58</v>
      </c>
      <c r="H68" s="150"/>
      <c r="I68" s="23">
        <f t="shared" si="1"/>
        <v>8.820199757855224</v>
      </c>
      <c r="J68" s="147">
        <f t="shared" si="2"/>
        <v>338830167.42</v>
      </c>
      <c r="K68" s="148"/>
      <c r="L68" s="148"/>
    </row>
    <row r="69" spans="1:12" s="3" customFormat="1" ht="15.75" customHeight="1">
      <c r="A69" s="146" t="s">
        <v>108</v>
      </c>
      <c r="B69" s="146"/>
      <c r="C69" s="118">
        <v>0</v>
      </c>
      <c r="D69" s="112">
        <v>0</v>
      </c>
      <c r="E69" s="119">
        <f>G69-0</f>
        <v>0</v>
      </c>
      <c r="F69" s="23">
        <v>0</v>
      </c>
      <c r="G69" s="149">
        <v>0</v>
      </c>
      <c r="H69" s="150"/>
      <c r="I69" s="23">
        <v>0</v>
      </c>
      <c r="J69" s="147">
        <f t="shared" si="2"/>
        <v>0</v>
      </c>
      <c r="K69" s="148"/>
      <c r="L69" s="148"/>
    </row>
    <row r="70" spans="1:12" s="3" customFormat="1" ht="15.75" customHeight="1">
      <c r="A70" s="146" t="s">
        <v>109</v>
      </c>
      <c r="B70" s="146"/>
      <c r="C70" s="118">
        <v>0</v>
      </c>
      <c r="D70" s="112">
        <v>0</v>
      </c>
      <c r="E70" s="119">
        <f>G70-0</f>
        <v>0</v>
      </c>
      <c r="F70" s="23">
        <v>0</v>
      </c>
      <c r="G70" s="149">
        <v>0</v>
      </c>
      <c r="H70" s="150"/>
      <c r="I70" s="23">
        <v>0</v>
      </c>
      <c r="J70" s="147">
        <f t="shared" si="2"/>
        <v>0</v>
      </c>
      <c r="K70" s="148"/>
      <c r="L70" s="148"/>
    </row>
    <row r="71" spans="1:12" s="3" customFormat="1" ht="15.75" customHeight="1">
      <c r="A71" s="146" t="s">
        <v>45</v>
      </c>
      <c r="B71" s="146"/>
      <c r="C71" s="118">
        <v>0</v>
      </c>
      <c r="D71" s="112">
        <v>0</v>
      </c>
      <c r="E71" s="122">
        <f>G71-347694.84</f>
        <v>23029.77999999997</v>
      </c>
      <c r="F71" s="23">
        <v>0</v>
      </c>
      <c r="G71" s="149">
        <v>370724.62</v>
      </c>
      <c r="H71" s="150"/>
      <c r="I71" s="23">
        <v>0</v>
      </c>
      <c r="J71" s="147">
        <f t="shared" si="2"/>
        <v>-370724.62</v>
      </c>
      <c r="K71" s="148"/>
      <c r="L71" s="148"/>
    </row>
    <row r="72" spans="1:12" s="3" customFormat="1" ht="15.75" customHeight="1">
      <c r="A72" s="146" t="s">
        <v>91</v>
      </c>
      <c r="B72" s="146"/>
      <c r="C72" s="118">
        <v>0</v>
      </c>
      <c r="D72" s="112">
        <v>0</v>
      </c>
      <c r="E72" s="119">
        <f>G72-0</f>
        <v>0</v>
      </c>
      <c r="F72" s="23">
        <v>0</v>
      </c>
      <c r="G72" s="149">
        <v>0</v>
      </c>
      <c r="H72" s="150"/>
      <c r="I72" s="23">
        <v>0</v>
      </c>
      <c r="J72" s="147">
        <f t="shared" si="2"/>
        <v>0</v>
      </c>
      <c r="K72" s="148"/>
      <c r="L72" s="148"/>
    </row>
    <row r="73" spans="1:12" s="3" customFormat="1" ht="15.75" customHeight="1">
      <c r="A73" s="146" t="s">
        <v>46</v>
      </c>
      <c r="B73" s="146"/>
      <c r="C73" s="118">
        <v>0</v>
      </c>
      <c r="D73" s="112">
        <v>0</v>
      </c>
      <c r="E73" s="119">
        <f>G73-0</f>
        <v>0</v>
      </c>
      <c r="F73" s="23">
        <v>0</v>
      </c>
      <c r="G73" s="149">
        <v>0</v>
      </c>
      <c r="H73" s="150"/>
      <c r="I73" s="23">
        <v>0</v>
      </c>
      <c r="J73" s="147">
        <f t="shared" si="2"/>
        <v>0</v>
      </c>
      <c r="K73" s="148"/>
      <c r="L73" s="148"/>
    </row>
    <row r="74" spans="1:12" s="3" customFormat="1" ht="15.75" customHeight="1">
      <c r="A74" s="146" t="s">
        <v>110</v>
      </c>
      <c r="B74" s="146"/>
      <c r="C74" s="118">
        <v>1620000</v>
      </c>
      <c r="D74" s="112">
        <v>1620000</v>
      </c>
      <c r="E74" s="119">
        <f>G74-0</f>
        <v>0</v>
      </c>
      <c r="F74" s="23">
        <f t="shared" si="3"/>
        <v>0</v>
      </c>
      <c r="G74" s="149">
        <v>0</v>
      </c>
      <c r="H74" s="150"/>
      <c r="I74" s="23">
        <f t="shared" si="1"/>
        <v>0</v>
      </c>
      <c r="J74" s="149">
        <f t="shared" si="2"/>
        <v>1620000</v>
      </c>
      <c r="K74" s="157"/>
      <c r="L74" s="157"/>
    </row>
    <row r="75" spans="1:12" s="3" customFormat="1" ht="15.75" customHeight="1">
      <c r="A75" s="146" t="s">
        <v>111</v>
      </c>
      <c r="B75" s="146"/>
      <c r="C75" s="118">
        <v>0</v>
      </c>
      <c r="D75" s="112">
        <v>0</v>
      </c>
      <c r="E75" s="119">
        <f>G75-0</f>
        <v>0</v>
      </c>
      <c r="F75" s="23">
        <v>0</v>
      </c>
      <c r="G75" s="149">
        <v>0</v>
      </c>
      <c r="H75" s="150"/>
      <c r="I75" s="23">
        <v>0</v>
      </c>
      <c r="J75" s="149">
        <f t="shared" si="2"/>
        <v>0</v>
      </c>
      <c r="K75" s="157"/>
      <c r="L75" s="157"/>
    </row>
    <row r="76" spans="1:12" s="3" customFormat="1" ht="15.75" customHeight="1">
      <c r="A76" s="202" t="s">
        <v>55</v>
      </c>
      <c r="B76" s="146"/>
      <c r="C76" s="118">
        <f>SUM(C77:C80)</f>
        <v>11480400</v>
      </c>
      <c r="D76" s="112">
        <f>SUM(D77:D80)</f>
        <v>11480400</v>
      </c>
      <c r="E76" s="119">
        <f>SUM(E77:E80)</f>
        <v>0</v>
      </c>
      <c r="F76" s="23">
        <f t="shared" si="3"/>
        <v>0</v>
      </c>
      <c r="G76" s="149">
        <f>SUM(G77:H80)</f>
        <v>0</v>
      </c>
      <c r="H76" s="150">
        <f>SUM(H78:H80)</f>
        <v>0</v>
      </c>
      <c r="I76" s="23">
        <f t="shared" si="1"/>
        <v>0</v>
      </c>
      <c r="J76" s="147">
        <f t="shared" si="2"/>
        <v>11480400</v>
      </c>
      <c r="K76" s="148"/>
      <c r="L76" s="148"/>
    </row>
    <row r="77" spans="1:12" s="3" customFormat="1" ht="15.75" customHeight="1">
      <c r="A77" s="146" t="s">
        <v>129</v>
      </c>
      <c r="B77" s="146"/>
      <c r="C77" s="118">
        <v>0</v>
      </c>
      <c r="D77" s="112">
        <v>0</v>
      </c>
      <c r="E77" s="119">
        <v>0</v>
      </c>
      <c r="F77" s="23">
        <v>0</v>
      </c>
      <c r="G77" s="149">
        <v>0</v>
      </c>
      <c r="H77" s="150"/>
      <c r="I77" s="23">
        <v>0</v>
      </c>
      <c r="J77" s="147">
        <f t="shared" si="2"/>
        <v>0</v>
      </c>
      <c r="K77" s="148"/>
      <c r="L77" s="148"/>
    </row>
    <row r="78" spans="1:12" s="3" customFormat="1" ht="15.75" customHeight="1">
      <c r="A78" s="146" t="s">
        <v>130</v>
      </c>
      <c r="B78" s="146"/>
      <c r="C78" s="118">
        <v>0</v>
      </c>
      <c r="D78" s="112">
        <v>0</v>
      </c>
      <c r="E78" s="119">
        <v>0</v>
      </c>
      <c r="F78" s="23">
        <v>0</v>
      </c>
      <c r="G78" s="149">
        <v>0</v>
      </c>
      <c r="H78" s="150"/>
      <c r="I78" s="23">
        <v>0</v>
      </c>
      <c r="J78" s="147">
        <f t="shared" si="2"/>
        <v>0</v>
      </c>
      <c r="K78" s="148"/>
      <c r="L78" s="148"/>
    </row>
    <row r="79" spans="1:12" s="3" customFormat="1" ht="15.75" customHeight="1">
      <c r="A79" s="146" t="s">
        <v>131</v>
      </c>
      <c r="B79" s="146"/>
      <c r="C79" s="118">
        <v>0</v>
      </c>
      <c r="D79" s="112">
        <v>0</v>
      </c>
      <c r="E79" s="119">
        <v>0</v>
      </c>
      <c r="F79" s="23">
        <v>0</v>
      </c>
      <c r="G79" s="149">
        <v>0</v>
      </c>
      <c r="H79" s="150"/>
      <c r="I79" s="23">
        <v>0</v>
      </c>
      <c r="J79" s="147">
        <f t="shared" si="2"/>
        <v>0</v>
      </c>
      <c r="K79" s="148"/>
      <c r="L79" s="148"/>
    </row>
    <row r="80" spans="1:12" s="3" customFormat="1" ht="15.75" customHeight="1">
      <c r="A80" s="146" t="s">
        <v>132</v>
      </c>
      <c r="B80" s="146"/>
      <c r="C80" s="118">
        <v>11480400</v>
      </c>
      <c r="D80" s="112">
        <v>11480400</v>
      </c>
      <c r="E80" s="119">
        <v>0</v>
      </c>
      <c r="F80" s="23">
        <f t="shared" si="3"/>
        <v>0</v>
      </c>
      <c r="G80" s="149">
        <v>0</v>
      </c>
      <c r="H80" s="150"/>
      <c r="I80" s="23">
        <f t="shared" si="1"/>
        <v>0</v>
      </c>
      <c r="J80" s="147">
        <f t="shared" si="2"/>
        <v>11480400</v>
      </c>
      <c r="K80" s="148"/>
      <c r="L80" s="148"/>
    </row>
    <row r="81" spans="1:12" s="3" customFormat="1" ht="15.75" customHeight="1">
      <c r="A81" s="212" t="s">
        <v>56</v>
      </c>
      <c r="B81" s="203"/>
      <c r="C81" s="116">
        <v>6040339444</v>
      </c>
      <c r="D81" s="117">
        <v>6028741257.52</v>
      </c>
      <c r="E81" s="115">
        <f>G81-2898718242.25</f>
        <v>707972898.9299998</v>
      </c>
      <c r="F81" s="18">
        <f>(E81/D81)*100</f>
        <v>11.743295468965497</v>
      </c>
      <c r="G81" s="213">
        <v>3606691141.18</v>
      </c>
      <c r="H81" s="214"/>
      <c r="I81" s="18">
        <f t="shared" si="1"/>
        <v>59.824944994631565</v>
      </c>
      <c r="J81" s="197">
        <f>D81-G81</f>
        <v>2422050116.3400006</v>
      </c>
      <c r="K81" s="198"/>
      <c r="L81" s="198"/>
    </row>
    <row r="82" spans="1:12" s="3" customFormat="1" ht="15.75" customHeight="1">
      <c r="A82" s="153" t="s">
        <v>28</v>
      </c>
      <c r="B82" s="154"/>
      <c r="C82" s="120">
        <f>C17+C81</f>
        <v>72603819280</v>
      </c>
      <c r="D82" s="121">
        <f>D17+D81</f>
        <v>67682016320.369995</v>
      </c>
      <c r="E82" s="120">
        <f>E17+E81</f>
        <v>10825696471.35</v>
      </c>
      <c r="F82" s="27">
        <f t="shared" si="3"/>
        <v>15.99493788735108</v>
      </c>
      <c r="G82" s="155">
        <f>G17+G81</f>
        <v>52718867581.23</v>
      </c>
      <c r="H82" s="156"/>
      <c r="I82" s="27">
        <f>(G82/D82)*100</f>
        <v>77.89198733632202</v>
      </c>
      <c r="J82" s="151">
        <f>D82-G82</f>
        <v>14963148739.139992</v>
      </c>
      <c r="K82" s="152"/>
      <c r="L82" s="152"/>
    </row>
    <row r="83" spans="1:12" s="3" customFormat="1" ht="15.75" customHeight="1">
      <c r="A83" s="207" t="s">
        <v>76</v>
      </c>
      <c r="B83" s="208"/>
      <c r="C83" s="28">
        <v>0</v>
      </c>
      <c r="D83" s="14">
        <v>0</v>
      </c>
      <c r="E83" s="15">
        <v>0</v>
      </c>
      <c r="F83" s="16">
        <v>0</v>
      </c>
      <c r="G83" s="209">
        <v>0</v>
      </c>
      <c r="H83" s="210"/>
      <c r="I83" s="16">
        <v>0</v>
      </c>
      <c r="J83" s="209">
        <v>0</v>
      </c>
      <c r="K83" s="211"/>
      <c r="L83" s="211"/>
    </row>
    <row r="84" spans="1:12" s="3" customFormat="1" ht="15.75" customHeight="1">
      <c r="A84" s="146" t="s">
        <v>133</v>
      </c>
      <c r="B84" s="203"/>
      <c r="C84" s="29">
        <v>0</v>
      </c>
      <c r="D84" s="21">
        <v>0</v>
      </c>
      <c r="E84" s="22">
        <v>0</v>
      </c>
      <c r="F84" s="23">
        <v>0</v>
      </c>
      <c r="G84" s="204">
        <v>0</v>
      </c>
      <c r="H84" s="205"/>
      <c r="I84" s="23">
        <v>0</v>
      </c>
      <c r="J84" s="204">
        <v>0</v>
      </c>
      <c r="K84" s="206"/>
      <c r="L84" s="206"/>
    </row>
    <row r="85" spans="1:12" s="3" customFormat="1" ht="15.75" customHeight="1">
      <c r="A85" s="146" t="s">
        <v>57</v>
      </c>
      <c r="B85" s="203"/>
      <c r="C85" s="29">
        <v>0</v>
      </c>
      <c r="D85" s="21">
        <v>0</v>
      </c>
      <c r="E85" s="22">
        <v>0</v>
      </c>
      <c r="F85" s="23">
        <v>0</v>
      </c>
      <c r="G85" s="204">
        <v>0</v>
      </c>
      <c r="H85" s="205"/>
      <c r="I85" s="23">
        <v>0</v>
      </c>
      <c r="J85" s="204">
        <v>0</v>
      </c>
      <c r="K85" s="206"/>
      <c r="L85" s="206"/>
    </row>
    <row r="86" spans="1:12" s="3" customFormat="1" ht="15.75" customHeight="1">
      <c r="A86" s="220" t="s">
        <v>58</v>
      </c>
      <c r="B86" s="203"/>
      <c r="C86" s="29">
        <v>0</v>
      </c>
      <c r="D86" s="21">
        <v>0</v>
      </c>
      <c r="E86" s="22">
        <v>0</v>
      </c>
      <c r="F86" s="23">
        <v>0</v>
      </c>
      <c r="G86" s="204">
        <v>0</v>
      </c>
      <c r="H86" s="205"/>
      <c r="I86" s="23">
        <v>0</v>
      </c>
      <c r="J86" s="204">
        <v>0</v>
      </c>
      <c r="K86" s="206"/>
      <c r="L86" s="206"/>
    </row>
    <row r="87" spans="1:12" s="3" customFormat="1" ht="15.75" customHeight="1">
      <c r="A87" s="146" t="s">
        <v>134</v>
      </c>
      <c r="B87" s="203"/>
      <c r="C87" s="29">
        <v>0</v>
      </c>
      <c r="D87" s="21">
        <v>0</v>
      </c>
      <c r="E87" s="22">
        <v>0</v>
      </c>
      <c r="F87" s="23">
        <v>0</v>
      </c>
      <c r="G87" s="204">
        <v>0</v>
      </c>
      <c r="H87" s="205"/>
      <c r="I87" s="23">
        <v>0</v>
      </c>
      <c r="J87" s="204">
        <v>0</v>
      </c>
      <c r="K87" s="206"/>
      <c r="L87" s="206"/>
    </row>
    <row r="88" spans="1:12" s="3" customFormat="1" ht="15.75" customHeight="1">
      <c r="A88" s="146" t="s">
        <v>57</v>
      </c>
      <c r="B88" s="203"/>
      <c r="C88" s="29">
        <v>0</v>
      </c>
      <c r="D88" s="21">
        <v>0</v>
      </c>
      <c r="E88" s="22">
        <v>0</v>
      </c>
      <c r="F88" s="23">
        <v>0</v>
      </c>
      <c r="G88" s="204">
        <v>0</v>
      </c>
      <c r="H88" s="205"/>
      <c r="I88" s="23">
        <v>0</v>
      </c>
      <c r="J88" s="204">
        <v>0</v>
      </c>
      <c r="K88" s="206"/>
      <c r="L88" s="206"/>
    </row>
    <row r="89" spans="1:12" s="3" customFormat="1" ht="15.75" customHeight="1">
      <c r="A89" s="216" t="s">
        <v>58</v>
      </c>
      <c r="B89" s="217"/>
      <c r="C89" s="30">
        <v>0</v>
      </c>
      <c r="D89" s="31">
        <v>0</v>
      </c>
      <c r="E89" s="22">
        <v>0</v>
      </c>
      <c r="F89" s="32">
        <v>0</v>
      </c>
      <c r="G89" s="218">
        <v>0</v>
      </c>
      <c r="H89" s="219"/>
      <c r="I89" s="32">
        <v>0</v>
      </c>
      <c r="J89" s="204">
        <v>0</v>
      </c>
      <c r="K89" s="206"/>
      <c r="L89" s="206"/>
    </row>
    <row r="90" spans="1:13" s="3" customFormat="1" ht="15.75" customHeight="1">
      <c r="A90" s="153" t="s">
        <v>29</v>
      </c>
      <c r="B90" s="154"/>
      <c r="C90" s="123">
        <f>C82+C83</f>
        <v>72603819280</v>
      </c>
      <c r="D90" s="121">
        <f>D82+D83</f>
        <v>67682016320.369995</v>
      </c>
      <c r="E90" s="120">
        <f>E82+E83</f>
        <v>10825696471.35</v>
      </c>
      <c r="F90" s="33">
        <f>(E90/D90)*100</f>
        <v>15.99493788735108</v>
      </c>
      <c r="G90" s="151">
        <f>G82+G83</f>
        <v>52718867581.23</v>
      </c>
      <c r="H90" s="215">
        <f>H82+H83</f>
        <v>0</v>
      </c>
      <c r="I90" s="18">
        <f>(G90/D90)*100</f>
        <v>77.89198733632202</v>
      </c>
      <c r="J90" s="151">
        <f>D90-G90</f>
        <v>14963148739.139992</v>
      </c>
      <c r="K90" s="152">
        <f>K82+K83</f>
        <v>0</v>
      </c>
      <c r="L90" s="152">
        <f>L82+L83</f>
        <v>0</v>
      </c>
      <c r="M90" s="34"/>
    </row>
    <row r="91" spans="1:13" s="3" customFormat="1" ht="15.75" customHeight="1">
      <c r="A91" s="153" t="s">
        <v>30</v>
      </c>
      <c r="B91" s="221"/>
      <c r="C91" s="120">
        <f>B122-C90</f>
        <v>10725391369</v>
      </c>
      <c r="D91" s="124">
        <f>C122-D90</f>
        <v>21661655818.580017</v>
      </c>
      <c r="E91" s="120">
        <v>0</v>
      </c>
      <c r="F91" s="27">
        <v>0</v>
      </c>
      <c r="G91" s="151">
        <v>0</v>
      </c>
      <c r="H91" s="215"/>
      <c r="I91" s="16">
        <v>0</v>
      </c>
      <c r="J91" s="151">
        <f>J92-J90</f>
        <v>21661655818.580017</v>
      </c>
      <c r="K91" s="152"/>
      <c r="L91" s="152"/>
      <c r="M91" s="25"/>
    </row>
    <row r="92" spans="1:17" s="3" customFormat="1" ht="15.75" customHeight="1">
      <c r="A92" s="226" t="s">
        <v>31</v>
      </c>
      <c r="B92" s="227"/>
      <c r="C92" s="120">
        <f>C90+C91</f>
        <v>83329210649</v>
      </c>
      <c r="D92" s="121">
        <f>D90+D91</f>
        <v>89343672138.95001</v>
      </c>
      <c r="E92" s="120">
        <f>E90+E91</f>
        <v>10825696471.35</v>
      </c>
      <c r="F92" s="33">
        <f>(E92/D92)*100</f>
        <v>12.116914619888856</v>
      </c>
      <c r="G92" s="151">
        <f>G90+G91</f>
        <v>52718867581.23</v>
      </c>
      <c r="H92" s="215"/>
      <c r="I92" s="27">
        <f>(G92/D92)*100</f>
        <v>59.00682870885361</v>
      </c>
      <c r="J92" s="151">
        <f>D92-G92</f>
        <v>36624804557.72001</v>
      </c>
      <c r="K92" s="152"/>
      <c r="L92" s="152"/>
      <c r="N92" s="295"/>
      <c r="O92" s="295"/>
      <c r="P92" s="295"/>
      <c r="Q92" s="295"/>
    </row>
    <row r="93" spans="1:17" s="3" customFormat="1" ht="15.75" customHeight="1">
      <c r="A93" s="228" t="s">
        <v>77</v>
      </c>
      <c r="B93" s="228"/>
      <c r="C93" s="27">
        <f>SUM(C94:C95)</f>
        <v>0</v>
      </c>
      <c r="D93" s="27">
        <f>SUM(D94:D95)</f>
        <v>2660285413.81</v>
      </c>
      <c r="E93" s="125">
        <f>SUM(E94:E95)</f>
        <v>0</v>
      </c>
      <c r="F93" s="35">
        <v>0</v>
      </c>
      <c r="G93" s="222">
        <f>SUM(G94:H95)</f>
        <v>2660285413.81</v>
      </c>
      <c r="H93" s="223">
        <f>SUM(H94:H95)</f>
        <v>0</v>
      </c>
      <c r="I93" s="35">
        <v>0</v>
      </c>
      <c r="J93" s="224">
        <f>SUM(J94+J95)</f>
        <v>0</v>
      </c>
      <c r="K93" s="225"/>
      <c r="L93" s="225"/>
      <c r="M93" s="36"/>
      <c r="N93" s="295"/>
      <c r="O93" s="295"/>
      <c r="P93" s="295"/>
      <c r="Q93" s="295"/>
    </row>
    <row r="94" spans="1:17" s="3" customFormat="1" ht="15.75" customHeight="1">
      <c r="A94" s="241" t="s">
        <v>92</v>
      </c>
      <c r="B94" s="241"/>
      <c r="C94" s="126">
        <v>0</v>
      </c>
      <c r="D94" s="127">
        <f>G94</f>
        <v>0</v>
      </c>
      <c r="E94" s="128">
        <v>0</v>
      </c>
      <c r="F94" s="37">
        <v>0</v>
      </c>
      <c r="G94" s="239">
        <v>0</v>
      </c>
      <c r="H94" s="240"/>
      <c r="I94" s="38">
        <v>0</v>
      </c>
      <c r="J94" s="237">
        <v>0</v>
      </c>
      <c r="K94" s="238"/>
      <c r="L94" s="238"/>
      <c r="M94" s="36"/>
      <c r="N94" s="295"/>
      <c r="O94" s="295"/>
      <c r="P94" s="295"/>
      <c r="Q94" s="295"/>
    </row>
    <row r="95" spans="1:17" s="3" customFormat="1" ht="15.75" customHeight="1">
      <c r="A95" s="241" t="s">
        <v>135</v>
      </c>
      <c r="B95" s="241"/>
      <c r="C95" s="126">
        <v>0</v>
      </c>
      <c r="D95" s="129">
        <f>G95</f>
        <v>2660285413.81</v>
      </c>
      <c r="E95" s="128">
        <v>0</v>
      </c>
      <c r="F95" s="37">
        <v>0</v>
      </c>
      <c r="G95" s="239">
        <v>2660285413.81</v>
      </c>
      <c r="H95" s="240"/>
      <c r="I95" s="38">
        <v>0</v>
      </c>
      <c r="J95" s="237">
        <v>0</v>
      </c>
      <c r="K95" s="238"/>
      <c r="L95" s="238"/>
      <c r="M95" s="36"/>
      <c r="N95" s="295"/>
      <c r="O95" s="295"/>
      <c r="P95" s="295"/>
      <c r="Q95" s="295"/>
    </row>
    <row r="96" spans="1:17" ht="15.75">
      <c r="A96" s="39"/>
      <c r="B96" s="40"/>
      <c r="C96" s="40"/>
      <c r="D96" s="41"/>
      <c r="E96" s="41"/>
      <c r="F96" s="40"/>
      <c r="G96" s="42"/>
      <c r="H96" s="43"/>
      <c r="I96" s="43"/>
      <c r="J96" s="43"/>
      <c r="K96" s="43"/>
      <c r="L96" s="44"/>
      <c r="M96" s="36"/>
      <c r="N96" s="295"/>
      <c r="O96" s="295"/>
      <c r="P96" s="295"/>
      <c r="Q96" s="295"/>
    </row>
    <row r="97" spans="1:12" s="3" customFormat="1" ht="17.25" customHeight="1">
      <c r="A97" s="244" t="s">
        <v>18</v>
      </c>
      <c r="B97" s="92" t="s">
        <v>15</v>
      </c>
      <c r="C97" s="92" t="s">
        <v>15</v>
      </c>
      <c r="D97" s="247" t="s">
        <v>16</v>
      </c>
      <c r="E97" s="248"/>
      <c r="F97" s="93" t="s">
        <v>73</v>
      </c>
      <c r="G97" s="247" t="s">
        <v>17</v>
      </c>
      <c r="H97" s="248"/>
      <c r="I97" s="249"/>
      <c r="J97" s="94" t="s">
        <v>73</v>
      </c>
      <c r="K97" s="229" t="s">
        <v>78</v>
      </c>
      <c r="L97" s="230"/>
    </row>
    <row r="98" spans="1:12" s="3" customFormat="1" ht="14.25" customHeight="1">
      <c r="A98" s="245"/>
      <c r="B98" s="95" t="s">
        <v>5</v>
      </c>
      <c r="C98" s="95" t="s">
        <v>6</v>
      </c>
      <c r="D98" s="96" t="s">
        <v>79</v>
      </c>
      <c r="E98" s="96" t="s">
        <v>80</v>
      </c>
      <c r="F98" s="97"/>
      <c r="G98" s="96" t="s">
        <v>79</v>
      </c>
      <c r="H98" s="233" t="s">
        <v>80</v>
      </c>
      <c r="I98" s="234"/>
      <c r="J98" s="98"/>
      <c r="K98" s="231"/>
      <c r="L98" s="232"/>
    </row>
    <row r="99" spans="1:12" s="3" customFormat="1" ht="14.25" customHeight="1">
      <c r="A99" s="245"/>
      <c r="B99" s="95"/>
      <c r="C99" s="95"/>
      <c r="D99" s="97" t="s">
        <v>81</v>
      </c>
      <c r="E99" s="97" t="s">
        <v>81</v>
      </c>
      <c r="F99" s="97"/>
      <c r="G99" s="97" t="s">
        <v>81</v>
      </c>
      <c r="H99" s="235" t="s">
        <v>81</v>
      </c>
      <c r="I99" s="236"/>
      <c r="J99" s="98"/>
      <c r="K99" s="231"/>
      <c r="L99" s="232"/>
    </row>
    <row r="100" spans="1:12" s="3" customFormat="1" ht="16.5" customHeight="1">
      <c r="A100" s="246"/>
      <c r="B100" s="99" t="s">
        <v>19</v>
      </c>
      <c r="C100" s="99" t="s">
        <v>20</v>
      </c>
      <c r="D100" s="99"/>
      <c r="E100" s="99" t="s">
        <v>82</v>
      </c>
      <c r="F100" s="100" t="s">
        <v>83</v>
      </c>
      <c r="G100" s="99"/>
      <c r="H100" s="242" t="s">
        <v>21</v>
      </c>
      <c r="I100" s="243"/>
      <c r="J100" s="101" t="s">
        <v>84</v>
      </c>
      <c r="K100" s="242" t="s">
        <v>22</v>
      </c>
      <c r="L100" s="250"/>
    </row>
    <row r="101" spans="1:13" s="3" customFormat="1" ht="15.75" customHeight="1">
      <c r="A101" s="45" t="s">
        <v>85</v>
      </c>
      <c r="B101" s="117">
        <f>B102+B108+B112</f>
        <v>77282708305</v>
      </c>
      <c r="C101" s="117">
        <f>C102+C108+C112</f>
        <v>82654005985.51001</v>
      </c>
      <c r="D101" s="117">
        <f>D102+D108+D112</f>
        <v>9503040336.88</v>
      </c>
      <c r="E101" s="117">
        <f>E102+E108+E112</f>
        <v>47916422055.369995</v>
      </c>
      <c r="F101" s="117">
        <f>C101-E101</f>
        <v>34737583930.140015</v>
      </c>
      <c r="G101" s="130">
        <f>G102+G108+G112</f>
        <v>9924989813.280003</v>
      </c>
      <c r="H101" s="251">
        <f>H102+H108+H112</f>
        <v>45435997298.36001</v>
      </c>
      <c r="I101" s="252"/>
      <c r="J101" s="114">
        <f aca="true" t="shared" si="4" ref="J101:J106">C101-H101</f>
        <v>37218008687.15</v>
      </c>
      <c r="K101" s="253">
        <f>K102+K108+K112</f>
        <v>42914800039.61001</v>
      </c>
      <c r="L101" s="254" t="e">
        <f>L102+L108+L112+#REF!</f>
        <v>#REF!</v>
      </c>
      <c r="M101" s="17"/>
    </row>
    <row r="102" spans="1:13" s="3" customFormat="1" ht="15.75" customHeight="1">
      <c r="A102" s="46" t="s">
        <v>59</v>
      </c>
      <c r="B102" s="117">
        <f>SUM(B103:B105)</f>
        <v>67216744569</v>
      </c>
      <c r="C102" s="117">
        <f>SUM(C103:C105)</f>
        <v>71354804223.26001</v>
      </c>
      <c r="D102" s="117">
        <f>SUM(D103:D105)</f>
        <v>9330795846.82</v>
      </c>
      <c r="E102" s="117">
        <f>SUM(E103:E105)</f>
        <v>46725117871.1</v>
      </c>
      <c r="F102" s="117">
        <f>C102-E102</f>
        <v>24629686352.16001</v>
      </c>
      <c r="G102" s="130">
        <f>SUM(G103:G105)</f>
        <v>9777597354.490002</v>
      </c>
      <c r="H102" s="200">
        <f>SUM(H103:H105)</f>
        <v>44560560215.380005</v>
      </c>
      <c r="I102" s="201"/>
      <c r="J102" s="117">
        <f t="shared" si="4"/>
        <v>26794244007.880005</v>
      </c>
      <c r="K102" s="255">
        <f>SUM(K103:K105)</f>
        <v>42076770724.630005</v>
      </c>
      <c r="L102" s="256">
        <f>SUM(L103:L105)</f>
        <v>0</v>
      </c>
      <c r="M102" s="25"/>
    </row>
    <row r="103" spans="1:13" s="1" customFormat="1" ht="15.75" customHeight="1">
      <c r="A103" s="47" t="s">
        <v>60</v>
      </c>
      <c r="B103" s="112">
        <v>43734259278</v>
      </c>
      <c r="C103" s="112">
        <v>47791674700.29</v>
      </c>
      <c r="D103" s="112">
        <f>E103-26246176917.45</f>
        <v>6396268536.259998</v>
      </c>
      <c r="E103" s="112">
        <v>32642445453.71</v>
      </c>
      <c r="F103" s="112">
        <f>C103-E103</f>
        <v>15149229246.580002</v>
      </c>
      <c r="G103" s="133">
        <f>H103-25626235064.64</f>
        <v>6548308519.27</v>
      </c>
      <c r="H103" s="149">
        <v>32174543583.91</v>
      </c>
      <c r="I103" s="150"/>
      <c r="J103" s="112">
        <f>C103-H103</f>
        <v>15617131116.380001</v>
      </c>
      <c r="K103" s="257">
        <v>30077917381.51</v>
      </c>
      <c r="L103" s="258"/>
      <c r="M103" s="49"/>
    </row>
    <row r="104" spans="1:13" s="3" customFormat="1" ht="15.75" customHeight="1">
      <c r="A104" s="47" t="s">
        <v>61</v>
      </c>
      <c r="B104" s="112">
        <v>2125071984</v>
      </c>
      <c r="C104" s="112">
        <v>2117302326.36</v>
      </c>
      <c r="D104" s="112">
        <f>E104-159013129.05</f>
        <v>99670486.97</v>
      </c>
      <c r="E104" s="112">
        <v>258683616.02</v>
      </c>
      <c r="F104" s="112">
        <f aca="true" t="shared" si="5" ref="F104:F112">C104-E104</f>
        <v>1858618710.34</v>
      </c>
      <c r="G104" s="133">
        <f>H104-159006752.7</f>
        <v>99293805.68</v>
      </c>
      <c r="H104" s="149">
        <v>258300558.38</v>
      </c>
      <c r="I104" s="150"/>
      <c r="J104" s="112">
        <f>C104-H104</f>
        <v>1859001767.98</v>
      </c>
      <c r="K104" s="257">
        <v>258214757.33</v>
      </c>
      <c r="L104" s="258"/>
      <c r="M104" s="50"/>
    </row>
    <row r="105" spans="1:13" s="3" customFormat="1" ht="15.75" customHeight="1">
      <c r="A105" s="47" t="s">
        <v>62</v>
      </c>
      <c r="B105" s="112">
        <f>B106+B107</f>
        <v>21357413307</v>
      </c>
      <c r="C105" s="112">
        <f>C106+C107</f>
        <v>21445827196.61</v>
      </c>
      <c r="D105" s="112">
        <f>D106+D107</f>
        <v>2834856823.59</v>
      </c>
      <c r="E105" s="112">
        <f>E106+E107</f>
        <v>13823988801.37</v>
      </c>
      <c r="F105" s="112">
        <f t="shared" si="5"/>
        <v>7621838395.24</v>
      </c>
      <c r="G105" s="133">
        <f>H105-8997721043.55</f>
        <v>3129995029.540001</v>
      </c>
      <c r="H105" s="149">
        <v>12127716073.09</v>
      </c>
      <c r="I105" s="150"/>
      <c r="J105" s="112">
        <f>C105-H105</f>
        <v>9318111123.52</v>
      </c>
      <c r="K105" s="257">
        <v>11740638585.79</v>
      </c>
      <c r="L105" s="258"/>
      <c r="M105" s="51"/>
    </row>
    <row r="106" spans="1:12" s="3" customFormat="1" ht="15.75" customHeight="1">
      <c r="A106" s="52" t="s">
        <v>88</v>
      </c>
      <c r="B106" s="112">
        <v>0</v>
      </c>
      <c r="C106" s="112">
        <v>0</v>
      </c>
      <c r="D106" s="112">
        <f>E106-0</f>
        <v>0</v>
      </c>
      <c r="E106" s="112">
        <v>0</v>
      </c>
      <c r="F106" s="112">
        <f t="shared" si="5"/>
        <v>0</v>
      </c>
      <c r="G106" s="133">
        <f>H106-0</f>
        <v>0</v>
      </c>
      <c r="H106" s="149">
        <v>0</v>
      </c>
      <c r="I106" s="150"/>
      <c r="J106" s="112">
        <f t="shared" si="4"/>
        <v>0</v>
      </c>
      <c r="K106" s="257">
        <v>0</v>
      </c>
      <c r="L106" s="258"/>
    </row>
    <row r="107" spans="1:12" s="3" customFormat="1" ht="15.75" customHeight="1">
      <c r="A107" s="52" t="s">
        <v>89</v>
      </c>
      <c r="B107" s="112">
        <v>21357413307</v>
      </c>
      <c r="C107" s="112">
        <v>21445827196.61</v>
      </c>
      <c r="D107" s="112">
        <f>E107-10989131977.78</f>
        <v>2834856823.59</v>
      </c>
      <c r="E107" s="112">
        <v>13823988801.37</v>
      </c>
      <c r="F107" s="112">
        <f t="shared" si="5"/>
        <v>7621838395.24</v>
      </c>
      <c r="G107" s="133">
        <f>G105-G106</f>
        <v>3129995029.540001</v>
      </c>
      <c r="H107" s="149">
        <f>H105-H106</f>
        <v>12127716073.09</v>
      </c>
      <c r="I107" s="150"/>
      <c r="J107" s="112">
        <f aca="true" t="shared" si="6" ref="J107:J112">C107-H107</f>
        <v>9318111123.52</v>
      </c>
      <c r="K107" s="257">
        <f>K105-K106</f>
        <v>11740638585.79</v>
      </c>
      <c r="L107" s="258"/>
    </row>
    <row r="108" spans="1:12" s="1" customFormat="1" ht="15.75">
      <c r="A108" s="46" t="s">
        <v>63</v>
      </c>
      <c r="B108" s="117">
        <f>SUM(B109:B111)</f>
        <v>9583016792</v>
      </c>
      <c r="C108" s="117">
        <f>SUM(C109:C111)</f>
        <v>10817424818.25</v>
      </c>
      <c r="D108" s="117">
        <f>SUM(D109:D111)</f>
        <v>172244490.06</v>
      </c>
      <c r="E108" s="117">
        <f>SUM(E109:E111)</f>
        <v>1191304184.27</v>
      </c>
      <c r="F108" s="117">
        <f t="shared" si="5"/>
        <v>9626120633.98</v>
      </c>
      <c r="G108" s="130">
        <f>SUM(G109:G111)</f>
        <v>147392458.78999996</v>
      </c>
      <c r="H108" s="200">
        <f>SUM(H109:I111)</f>
        <v>875437082.98</v>
      </c>
      <c r="I108" s="201"/>
      <c r="J108" s="117">
        <f t="shared" si="6"/>
        <v>9941987735.27</v>
      </c>
      <c r="K108" s="261">
        <f>SUM(K109:K111)</f>
        <v>838029314.98</v>
      </c>
      <c r="L108" s="262"/>
    </row>
    <row r="109" spans="1:12" s="3" customFormat="1" ht="15.75" customHeight="1">
      <c r="A109" s="47" t="s">
        <v>64</v>
      </c>
      <c r="B109" s="112">
        <v>5034900944</v>
      </c>
      <c r="C109" s="112">
        <v>6259045540.8</v>
      </c>
      <c r="D109" s="112">
        <f>E109-684195892.27</f>
        <v>119386252.35000002</v>
      </c>
      <c r="E109" s="112">
        <v>803582144.62</v>
      </c>
      <c r="F109" s="112">
        <f t="shared" si="5"/>
        <v>5455463396.18</v>
      </c>
      <c r="G109" s="133">
        <f>H109-393445244.33</f>
        <v>101095361.12</v>
      </c>
      <c r="H109" s="149">
        <v>494540605.45</v>
      </c>
      <c r="I109" s="150"/>
      <c r="J109" s="112">
        <f t="shared" si="6"/>
        <v>5764504935.35</v>
      </c>
      <c r="K109" s="257">
        <v>457343517.73</v>
      </c>
      <c r="L109" s="258"/>
    </row>
    <row r="110" spans="1:12" s="3" customFormat="1" ht="15.75" customHeight="1">
      <c r="A110" s="47" t="s">
        <v>65</v>
      </c>
      <c r="B110" s="112">
        <v>100541449</v>
      </c>
      <c r="C110" s="112">
        <v>128082683.93</v>
      </c>
      <c r="D110" s="112">
        <f>E110-13522000</f>
        <v>2300000</v>
      </c>
      <c r="E110" s="112">
        <v>15822000</v>
      </c>
      <c r="F110" s="112">
        <f t="shared" si="5"/>
        <v>112260683.93</v>
      </c>
      <c r="G110" s="133">
        <f>H110-13522000</f>
        <v>-4422000</v>
      </c>
      <c r="H110" s="149">
        <v>9100000</v>
      </c>
      <c r="I110" s="150"/>
      <c r="J110" s="112">
        <f t="shared" si="6"/>
        <v>118982683.93</v>
      </c>
      <c r="K110" s="257">
        <v>9100000</v>
      </c>
      <c r="L110" s="258"/>
    </row>
    <row r="111" spans="1:12" s="3" customFormat="1" ht="15.75" customHeight="1">
      <c r="A111" s="47" t="s">
        <v>66</v>
      </c>
      <c r="B111" s="112">
        <v>4447574399</v>
      </c>
      <c r="C111" s="112">
        <v>4430296593.52</v>
      </c>
      <c r="D111" s="112">
        <f>E111-321341801.94</f>
        <v>50558237.70999998</v>
      </c>
      <c r="E111" s="112">
        <v>371900039.65</v>
      </c>
      <c r="F111" s="112">
        <f t="shared" si="5"/>
        <v>4058396553.8700004</v>
      </c>
      <c r="G111" s="133">
        <f>H111-321077379.86</f>
        <v>50719097.66999996</v>
      </c>
      <c r="H111" s="149">
        <v>371796477.53</v>
      </c>
      <c r="I111" s="150"/>
      <c r="J111" s="112">
        <f>C111-H111</f>
        <v>4058500115.9900007</v>
      </c>
      <c r="K111" s="257">
        <v>371585797.25</v>
      </c>
      <c r="L111" s="258"/>
    </row>
    <row r="112" spans="1:12" s="3" customFormat="1" ht="15.75" customHeight="1">
      <c r="A112" s="46" t="s">
        <v>67</v>
      </c>
      <c r="B112" s="130">
        <v>482946944</v>
      </c>
      <c r="C112" s="130">
        <v>481776944</v>
      </c>
      <c r="D112" s="130">
        <f>E112-0</f>
        <v>0</v>
      </c>
      <c r="E112" s="130">
        <v>0</v>
      </c>
      <c r="F112" s="130">
        <f t="shared" si="5"/>
        <v>481776944</v>
      </c>
      <c r="G112" s="130">
        <f>H112-0</f>
        <v>0</v>
      </c>
      <c r="H112" s="200">
        <v>0</v>
      </c>
      <c r="I112" s="201"/>
      <c r="J112" s="117">
        <f t="shared" si="6"/>
        <v>481776944</v>
      </c>
      <c r="K112" s="261">
        <v>0</v>
      </c>
      <c r="L112" s="262"/>
    </row>
    <row r="113" spans="1:12" s="3" customFormat="1" ht="15.75" customHeight="1">
      <c r="A113" s="46" t="s">
        <v>68</v>
      </c>
      <c r="B113" s="130">
        <v>6040339444</v>
      </c>
      <c r="C113" s="130">
        <v>6682984193.66</v>
      </c>
      <c r="D113" s="130">
        <f>E113-3069639761.22</f>
        <v>732826950.4500003</v>
      </c>
      <c r="E113" s="130">
        <v>3802466711.67</v>
      </c>
      <c r="F113" s="130">
        <f>C113-E113</f>
        <v>2880517481.99</v>
      </c>
      <c r="G113" s="130">
        <f>H113-2845353953.69</f>
        <v>784181692.1599998</v>
      </c>
      <c r="H113" s="200">
        <v>3629535645.85</v>
      </c>
      <c r="I113" s="201"/>
      <c r="J113" s="117">
        <f>C113-H113</f>
        <v>3053448547.81</v>
      </c>
      <c r="K113" s="261">
        <v>3246195156.41</v>
      </c>
      <c r="L113" s="262"/>
    </row>
    <row r="114" spans="1:17" s="3" customFormat="1" ht="15.75" customHeight="1">
      <c r="A114" s="53" t="s">
        <v>32</v>
      </c>
      <c r="B114" s="131">
        <f>B101+B113</f>
        <v>83323047749</v>
      </c>
      <c r="C114" s="131">
        <f>C101+C113</f>
        <v>89336990179.17001</v>
      </c>
      <c r="D114" s="131">
        <f>D101+D113</f>
        <v>10235867287.33</v>
      </c>
      <c r="E114" s="131">
        <f>E101+E113</f>
        <v>51718888767.03999</v>
      </c>
      <c r="F114" s="131">
        <f>C114-E114</f>
        <v>37618101412.13002</v>
      </c>
      <c r="G114" s="131">
        <f>G101+G113</f>
        <v>10709171505.440002</v>
      </c>
      <c r="H114" s="151">
        <f>H101+H113</f>
        <v>49065532944.21001</v>
      </c>
      <c r="I114" s="215" t="e">
        <f>I101+#REF!</f>
        <v>#REF!</v>
      </c>
      <c r="J114" s="114">
        <f>C114-H114</f>
        <v>40271457234.96001</v>
      </c>
      <c r="K114" s="259">
        <f>K101+K113</f>
        <v>46160995196.020004</v>
      </c>
      <c r="L114" s="260" t="e">
        <f>L101+#REF!</f>
        <v>#REF!</v>
      </c>
      <c r="M114" s="55"/>
      <c r="N114" s="55"/>
      <c r="O114" s="55"/>
      <c r="P114" s="55"/>
      <c r="Q114" s="55"/>
    </row>
    <row r="115" spans="1:17" s="3" customFormat="1" ht="15.75" customHeight="1">
      <c r="A115" s="56" t="s">
        <v>86</v>
      </c>
      <c r="B115" s="132">
        <f>B116+B119</f>
        <v>6162900</v>
      </c>
      <c r="C115" s="132">
        <f>C116+C119</f>
        <v>6681959.78</v>
      </c>
      <c r="D115" s="143">
        <f>D116+D119</f>
        <v>2237153.0600000005</v>
      </c>
      <c r="E115" s="132">
        <f>E116+E119</f>
        <v>6681959.78</v>
      </c>
      <c r="F115" s="132">
        <f aca="true" t="shared" si="7" ref="F115:F120">C115-E115</f>
        <v>0</v>
      </c>
      <c r="G115" s="132">
        <f>G116+G119</f>
        <v>2237153.0600000005</v>
      </c>
      <c r="H115" s="195">
        <f>H116+H119</f>
        <v>6681959.78</v>
      </c>
      <c r="I115" s="196">
        <f>I116+I119</f>
        <v>0</v>
      </c>
      <c r="J115" s="114">
        <f>C115-H115</f>
        <v>0</v>
      </c>
      <c r="K115" s="254">
        <f>K116+K119</f>
        <v>6681959.78</v>
      </c>
      <c r="L115" s="254"/>
      <c r="M115" s="55"/>
      <c r="N115" s="55"/>
      <c r="O115" s="55"/>
      <c r="P115" s="55"/>
      <c r="Q115" s="55"/>
    </row>
    <row r="116" spans="1:17" s="3" customFormat="1" ht="15.75" customHeight="1">
      <c r="A116" s="52" t="s">
        <v>23</v>
      </c>
      <c r="B116" s="133">
        <f>B117+B118</f>
        <v>6162900</v>
      </c>
      <c r="C116" s="133">
        <f>C117+C118</f>
        <v>6681959.78</v>
      </c>
      <c r="D116" s="144">
        <f>D117+D118</f>
        <v>2237153.0600000005</v>
      </c>
      <c r="E116" s="112">
        <f>E117+E118</f>
        <v>6681959.78</v>
      </c>
      <c r="F116" s="112">
        <f t="shared" si="7"/>
        <v>0</v>
      </c>
      <c r="G116" s="133">
        <f>G117+G118</f>
        <v>2237153.0600000005</v>
      </c>
      <c r="H116" s="147">
        <f>H117+H118</f>
        <v>6681959.78</v>
      </c>
      <c r="I116" s="148">
        <f>I117+I118</f>
        <v>0</v>
      </c>
      <c r="J116" s="112">
        <f aca="true" t="shared" si="8" ref="J116:J121">C116-H116</f>
        <v>0</v>
      </c>
      <c r="K116" s="265">
        <f>K117+K118</f>
        <v>6681959.78</v>
      </c>
      <c r="L116" s="265"/>
      <c r="M116" s="55"/>
      <c r="N116" s="55"/>
      <c r="O116" s="55"/>
      <c r="P116" s="55"/>
      <c r="Q116" s="55"/>
    </row>
    <row r="117" spans="1:12" s="3" customFormat="1" ht="15.75" customHeight="1">
      <c r="A117" s="52" t="s">
        <v>24</v>
      </c>
      <c r="B117" s="133">
        <v>0</v>
      </c>
      <c r="C117" s="48">
        <v>0</v>
      </c>
      <c r="D117" s="144">
        <f>E117-0</f>
        <v>0</v>
      </c>
      <c r="E117" s="133">
        <v>0</v>
      </c>
      <c r="F117" s="112">
        <f t="shared" si="7"/>
        <v>0</v>
      </c>
      <c r="G117" s="133">
        <f>H117-0</f>
        <v>0</v>
      </c>
      <c r="H117" s="204">
        <v>0</v>
      </c>
      <c r="I117" s="206"/>
      <c r="J117" s="112">
        <f t="shared" si="8"/>
        <v>0</v>
      </c>
      <c r="K117" s="265">
        <v>0</v>
      </c>
      <c r="L117" s="265"/>
    </row>
    <row r="118" spans="1:12" s="3" customFormat="1" ht="15.75" customHeight="1">
      <c r="A118" s="52" t="s">
        <v>25</v>
      </c>
      <c r="B118" s="133">
        <v>6162900</v>
      </c>
      <c r="C118" s="133">
        <v>6681959.78</v>
      </c>
      <c r="D118" s="144">
        <f>E118-4444806.72</f>
        <v>2237153.0600000005</v>
      </c>
      <c r="E118" s="112">
        <v>6681959.78</v>
      </c>
      <c r="F118" s="112">
        <f t="shared" si="7"/>
        <v>0</v>
      </c>
      <c r="G118" s="139">
        <f>H118-4444806.72</f>
        <v>2237153.0600000005</v>
      </c>
      <c r="H118" s="149">
        <v>6681959.78</v>
      </c>
      <c r="I118" s="157"/>
      <c r="J118" s="112">
        <f>C118-H118</f>
        <v>0</v>
      </c>
      <c r="K118" s="265">
        <v>6681959.78</v>
      </c>
      <c r="L118" s="265"/>
    </row>
    <row r="119" spans="1:12" s="3" customFormat="1" ht="15.75" customHeight="1">
      <c r="A119" s="52" t="s">
        <v>26</v>
      </c>
      <c r="B119" s="133">
        <f>B120+B121</f>
        <v>0</v>
      </c>
      <c r="C119" s="48">
        <f>C120+C121</f>
        <v>0</v>
      </c>
      <c r="D119" s="21">
        <f>D120+D121</f>
        <v>0</v>
      </c>
      <c r="E119" s="133">
        <f>E120+E121</f>
        <v>0</v>
      </c>
      <c r="F119" s="112">
        <f t="shared" si="7"/>
        <v>0</v>
      </c>
      <c r="G119" s="133">
        <f>G120+G121</f>
        <v>0</v>
      </c>
      <c r="H119" s="204">
        <f>H120+H121</f>
        <v>0</v>
      </c>
      <c r="I119" s="206">
        <f>I120+I121</f>
        <v>0</v>
      </c>
      <c r="J119" s="112">
        <f t="shared" si="8"/>
        <v>0</v>
      </c>
      <c r="K119" s="265">
        <f>K120+K121</f>
        <v>0</v>
      </c>
      <c r="L119" s="265"/>
    </row>
    <row r="120" spans="1:12" s="3" customFormat="1" ht="15.75" customHeight="1">
      <c r="A120" s="52" t="s">
        <v>24</v>
      </c>
      <c r="B120" s="133">
        <v>0</v>
      </c>
      <c r="C120" s="48">
        <v>0</v>
      </c>
      <c r="D120" s="21">
        <f>E120-0</f>
        <v>0</v>
      </c>
      <c r="E120" s="133">
        <v>0</v>
      </c>
      <c r="F120" s="112">
        <f t="shared" si="7"/>
        <v>0</v>
      </c>
      <c r="G120" s="133">
        <f>H120-0</f>
        <v>0</v>
      </c>
      <c r="H120" s="204">
        <v>0</v>
      </c>
      <c r="I120" s="206"/>
      <c r="J120" s="112">
        <f t="shared" si="8"/>
        <v>0</v>
      </c>
      <c r="K120" s="265">
        <v>0</v>
      </c>
      <c r="L120" s="265"/>
    </row>
    <row r="121" spans="1:12" s="3" customFormat="1" ht="15.75" customHeight="1">
      <c r="A121" s="52" t="s">
        <v>25</v>
      </c>
      <c r="B121" s="134">
        <v>0</v>
      </c>
      <c r="C121" s="57">
        <v>0</v>
      </c>
      <c r="D121" s="31">
        <f>E121-0</f>
        <v>0</v>
      </c>
      <c r="E121" s="137">
        <v>0</v>
      </c>
      <c r="F121" s="137">
        <v>0</v>
      </c>
      <c r="G121" s="140">
        <f>H121-0</f>
        <v>0</v>
      </c>
      <c r="H121" s="263">
        <v>0</v>
      </c>
      <c r="I121" s="264"/>
      <c r="J121" s="137">
        <f t="shared" si="8"/>
        <v>0</v>
      </c>
      <c r="K121" s="268">
        <v>0</v>
      </c>
      <c r="L121" s="268"/>
    </row>
    <row r="122" spans="1:13" s="3" customFormat="1" ht="15.75" customHeight="1">
      <c r="A122" s="53" t="s">
        <v>69</v>
      </c>
      <c r="B122" s="121">
        <f aca="true" t="shared" si="9" ref="B122:L122">B114+B115</f>
        <v>83329210649</v>
      </c>
      <c r="C122" s="136">
        <f>C114+C115</f>
        <v>89343672138.95001</v>
      </c>
      <c r="D122" s="136">
        <f t="shared" si="9"/>
        <v>10238104440.39</v>
      </c>
      <c r="E122" s="136">
        <f t="shared" si="9"/>
        <v>51725570726.81999</v>
      </c>
      <c r="F122" s="136">
        <f>F114+F115</f>
        <v>37618101412.13002</v>
      </c>
      <c r="G122" s="136">
        <f t="shared" si="9"/>
        <v>10711408658.500002</v>
      </c>
      <c r="H122" s="151">
        <f t="shared" si="9"/>
        <v>49072214903.990005</v>
      </c>
      <c r="I122" s="215" t="e">
        <f t="shared" si="9"/>
        <v>#REF!</v>
      </c>
      <c r="J122" s="138">
        <f t="shared" si="9"/>
        <v>40271457234.96001</v>
      </c>
      <c r="K122" s="259">
        <f t="shared" si="9"/>
        <v>46167677155.8</v>
      </c>
      <c r="L122" s="260" t="e">
        <f t="shared" si="9"/>
        <v>#REF!</v>
      </c>
      <c r="M122" s="59"/>
    </row>
    <row r="123" spans="1:13" s="3" customFormat="1" ht="15.75" customHeight="1">
      <c r="A123" s="53" t="s">
        <v>70</v>
      </c>
      <c r="B123" s="121">
        <v>0</v>
      </c>
      <c r="C123" s="131">
        <v>0</v>
      </c>
      <c r="D123" s="131">
        <v>0</v>
      </c>
      <c r="E123" s="131">
        <v>0</v>
      </c>
      <c r="F123" s="131">
        <v>0</v>
      </c>
      <c r="G123" s="131">
        <f>E90-G122</f>
        <v>114287812.84999847</v>
      </c>
      <c r="H123" s="151">
        <f>G90-H122</f>
        <v>3646652677.239998</v>
      </c>
      <c r="I123" s="215"/>
      <c r="J123" s="120">
        <f>J92-J122</f>
        <v>-3646652677.239998</v>
      </c>
      <c r="K123" s="259">
        <v>0</v>
      </c>
      <c r="L123" s="260"/>
      <c r="M123" s="25"/>
    </row>
    <row r="124" spans="1:12" s="3" customFormat="1" ht="15.75" customHeight="1">
      <c r="A124" s="60" t="s">
        <v>33</v>
      </c>
      <c r="B124" s="135">
        <f>B122+B123</f>
        <v>83329210649</v>
      </c>
      <c r="C124" s="136">
        <f aca="true" t="shared" si="10" ref="C124:H124">C122+C123</f>
        <v>89343672138.95001</v>
      </c>
      <c r="D124" s="136">
        <f>D122+D123</f>
        <v>10238104440.39</v>
      </c>
      <c r="E124" s="136">
        <f t="shared" si="10"/>
        <v>51725570726.81999</v>
      </c>
      <c r="F124" s="131">
        <f>F122+F123</f>
        <v>37618101412.13002</v>
      </c>
      <c r="G124" s="131">
        <f t="shared" si="10"/>
        <v>10825696471.35</v>
      </c>
      <c r="H124" s="151">
        <f t="shared" si="10"/>
        <v>52718867581.23</v>
      </c>
      <c r="I124" s="215"/>
      <c r="J124" s="120">
        <f>J122+J123</f>
        <v>36624804557.72001</v>
      </c>
      <c r="K124" s="259">
        <f>K122+K123</f>
        <v>46167677155.8</v>
      </c>
      <c r="L124" s="260"/>
    </row>
    <row r="125" spans="1:12" s="3" customFormat="1" ht="15.75" customHeight="1">
      <c r="A125" s="60" t="s">
        <v>90</v>
      </c>
      <c r="B125" s="135">
        <v>0</v>
      </c>
      <c r="C125" s="58">
        <v>0</v>
      </c>
      <c r="D125" s="58">
        <v>0</v>
      </c>
      <c r="E125" s="58">
        <v>0</v>
      </c>
      <c r="F125" s="54">
        <v>0</v>
      </c>
      <c r="G125" s="54">
        <v>0</v>
      </c>
      <c r="H125" s="269">
        <v>0</v>
      </c>
      <c r="I125" s="270"/>
      <c r="J125" s="26">
        <v>0</v>
      </c>
      <c r="K125" s="151">
        <v>0</v>
      </c>
      <c r="L125" s="152"/>
    </row>
    <row r="126" spans="1:12" ht="15.75">
      <c r="A126" s="61"/>
      <c r="B126" s="62"/>
      <c r="C126" s="62"/>
      <c r="D126" s="63"/>
      <c r="E126" s="63"/>
      <c r="F126" s="62"/>
      <c r="G126" s="63"/>
      <c r="H126" s="64"/>
      <c r="I126" s="64"/>
      <c r="J126" s="64"/>
      <c r="K126" s="64"/>
      <c r="L126" s="65" t="s">
        <v>100</v>
      </c>
    </row>
    <row r="127" spans="1:12" ht="15">
      <c r="A127" s="6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1:12" ht="15.75">
      <c r="A128" s="39"/>
      <c r="B128" s="40"/>
      <c r="C128" s="40"/>
      <c r="D128" s="41"/>
      <c r="E128" s="41"/>
      <c r="F128" s="40"/>
      <c r="G128" s="42"/>
      <c r="H128" s="43"/>
      <c r="I128" s="43"/>
      <c r="J128" s="43"/>
      <c r="K128" s="43"/>
      <c r="L128" s="44"/>
    </row>
    <row r="129" spans="1:12" ht="15.75">
      <c r="A129" s="39"/>
      <c r="B129" s="40"/>
      <c r="C129" s="40"/>
      <c r="D129" s="41"/>
      <c r="E129" s="41"/>
      <c r="F129" s="40"/>
      <c r="G129" s="42"/>
      <c r="H129" s="43"/>
      <c r="I129" s="43"/>
      <c r="J129" s="43"/>
      <c r="K129" s="43"/>
      <c r="L129" s="44"/>
    </row>
    <row r="130" spans="1:12" ht="15.75">
      <c r="A130" s="39"/>
      <c r="B130" s="40"/>
      <c r="C130" s="40"/>
      <c r="D130" s="41"/>
      <c r="E130" s="41"/>
      <c r="F130" s="40"/>
      <c r="G130" s="42"/>
      <c r="H130" s="43"/>
      <c r="I130" s="43"/>
      <c r="J130" s="43"/>
      <c r="K130" s="43"/>
      <c r="L130" s="65" t="s">
        <v>34</v>
      </c>
    </row>
    <row r="131" spans="1:12" ht="16.5">
      <c r="A131" s="266" t="str">
        <f>A6</f>
        <v>GOVERNO DO ESTADO DO RIO DE JANEIRO</v>
      </c>
      <c r="B131" s="266"/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</row>
    <row r="132" spans="1:12" ht="16.5">
      <c r="A132" s="267" t="str">
        <f>A7</f>
        <v>RELATÓRIO RESUMIDO DA EXECUÇÃO ORÇAMENTÁRIA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</row>
    <row r="133" spans="1:12" ht="16.5">
      <c r="A133" s="271" t="str">
        <f>A8</f>
        <v>BALANÇO ORÇAMENTÁRIO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</row>
    <row r="134" spans="1:12" ht="16.5">
      <c r="A134" s="266" t="str">
        <f>A9</f>
        <v>ORÇAMENTOS FISCAL E DA SEGURIDADE SOCIAL</v>
      </c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</row>
    <row r="135" spans="1:12" ht="16.5">
      <c r="A135" s="267" t="str">
        <f>A10</f>
        <v>JANEIRO A OUTUBRO 2020/BIMESTRE SETEMBRO-OUTUBRO</v>
      </c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</row>
    <row r="136" spans="1:12" ht="16.5">
      <c r="A136" s="66"/>
      <c r="B136" s="67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1:12" ht="15.75">
      <c r="A137" s="68"/>
      <c r="B137" s="68"/>
      <c r="C137" s="89"/>
      <c r="D137" s="89"/>
      <c r="E137" s="89"/>
      <c r="F137" s="89"/>
      <c r="G137" s="89"/>
      <c r="H137" s="89"/>
      <c r="I137" s="89"/>
      <c r="J137" s="69"/>
      <c r="K137" s="69"/>
      <c r="L137" s="108" t="str">
        <f>L12</f>
        <v>Emissão: 19/11/2020</v>
      </c>
    </row>
    <row r="138" spans="1:12" ht="15.75">
      <c r="A138" s="70" t="str">
        <f>A13</f>
        <v>RREO - Anexo 1 (LRF, Art. 52, inciso I, alíneas "a" e "b" do inciso II e §1º)</v>
      </c>
      <c r="B138" s="71"/>
      <c r="C138" s="107"/>
      <c r="D138" s="107"/>
      <c r="E138" s="107"/>
      <c r="F138" s="107"/>
      <c r="G138" s="107"/>
      <c r="H138" s="107"/>
      <c r="I138" s="69"/>
      <c r="J138" s="72"/>
      <c r="K138" s="73"/>
      <c r="L138" s="72">
        <v>1</v>
      </c>
    </row>
    <row r="139" spans="1:12" ht="15.75">
      <c r="A139" s="177" t="s">
        <v>4</v>
      </c>
      <c r="B139" s="178"/>
      <c r="C139" s="164" t="s">
        <v>72</v>
      </c>
      <c r="D139" s="85" t="s">
        <v>87</v>
      </c>
      <c r="E139" s="167" t="s">
        <v>3</v>
      </c>
      <c r="F139" s="168"/>
      <c r="G139" s="168"/>
      <c r="H139" s="168"/>
      <c r="I139" s="169"/>
      <c r="J139" s="186" t="s">
        <v>73</v>
      </c>
      <c r="K139" s="187"/>
      <c r="L139" s="187"/>
    </row>
    <row r="140" spans="1:12" ht="15.75">
      <c r="A140" s="179"/>
      <c r="B140" s="180"/>
      <c r="C140" s="165"/>
      <c r="D140" s="86" t="s">
        <v>6</v>
      </c>
      <c r="E140" s="85" t="s">
        <v>7</v>
      </c>
      <c r="F140" s="87" t="s">
        <v>8</v>
      </c>
      <c r="G140" s="186" t="s">
        <v>9</v>
      </c>
      <c r="H140" s="188"/>
      <c r="I140" s="87" t="s">
        <v>8</v>
      </c>
      <c r="J140" s="170"/>
      <c r="K140" s="171"/>
      <c r="L140" s="171"/>
    </row>
    <row r="141" spans="1:12" ht="15.75">
      <c r="A141" s="181"/>
      <c r="B141" s="182"/>
      <c r="C141" s="166"/>
      <c r="D141" s="88" t="s">
        <v>10</v>
      </c>
      <c r="E141" s="88" t="s">
        <v>11</v>
      </c>
      <c r="F141" s="88" t="s">
        <v>12</v>
      </c>
      <c r="G141" s="172" t="s">
        <v>74</v>
      </c>
      <c r="H141" s="173"/>
      <c r="I141" s="88" t="s">
        <v>13</v>
      </c>
      <c r="J141" s="172" t="s">
        <v>14</v>
      </c>
      <c r="K141" s="174"/>
      <c r="L141" s="174"/>
    </row>
    <row r="142" spans="1:12" ht="15.75">
      <c r="A142" s="191" t="s">
        <v>56</v>
      </c>
      <c r="B142" s="192"/>
      <c r="C142" s="113">
        <f>C143+C183</f>
        <v>6040339444</v>
      </c>
      <c r="D142" s="114">
        <f>D143+D183</f>
        <v>6028741257.52</v>
      </c>
      <c r="E142" s="115">
        <f>E143+E183</f>
        <v>707972898.9300002</v>
      </c>
      <c r="F142" s="16">
        <f aca="true" t="shared" si="11" ref="F142:F148">(E142/D142)*100</f>
        <v>11.743295468965504</v>
      </c>
      <c r="G142" s="272">
        <f>G143+G183</f>
        <v>3606691141.1800003</v>
      </c>
      <c r="H142" s="273"/>
      <c r="I142" s="16">
        <f>(G142/D142)*100</f>
        <v>59.82494499463158</v>
      </c>
      <c r="J142" s="195">
        <f aca="true" t="shared" si="12" ref="J142:J157">D142-G142</f>
        <v>2422050116.34</v>
      </c>
      <c r="K142" s="196"/>
      <c r="L142" s="196"/>
    </row>
    <row r="143" spans="1:12" ht="15.75">
      <c r="A143" s="183" t="s">
        <v>35</v>
      </c>
      <c r="B143" s="183"/>
      <c r="C143" s="116">
        <f>C144+C148+C153+C161+C162+C163+C169+C178</f>
        <v>6040339444</v>
      </c>
      <c r="D143" s="117">
        <f>D144+D148+D153+D161+D162+D163+D169+D178</f>
        <v>6028634659.1</v>
      </c>
      <c r="E143" s="115">
        <f>E144+E148+E153+E161+E162+E163+E169+E178</f>
        <v>707948949.1600002</v>
      </c>
      <c r="F143" s="18">
        <f t="shared" si="11"/>
        <v>11.743105847214967</v>
      </c>
      <c r="G143" s="274">
        <f>G144+G148+G153+G161+G162+G163+G169+G178</f>
        <v>3606582821.9100003</v>
      </c>
      <c r="H143" s="275"/>
      <c r="I143" s="18">
        <f>(G143/D143)*100</f>
        <v>59.8242060740237</v>
      </c>
      <c r="J143" s="197">
        <f t="shared" si="12"/>
        <v>2422051837.19</v>
      </c>
      <c r="K143" s="198"/>
      <c r="L143" s="198"/>
    </row>
    <row r="144" spans="1:12" ht="15.75">
      <c r="A144" s="146" t="s">
        <v>140</v>
      </c>
      <c r="B144" s="146"/>
      <c r="C144" s="118">
        <f>C145+C146+C147</f>
        <v>0</v>
      </c>
      <c r="D144" s="112">
        <f>D145+D146+D147</f>
        <v>0</v>
      </c>
      <c r="E144" s="119">
        <f>E145+E146+E147</f>
        <v>0</v>
      </c>
      <c r="F144" s="23">
        <v>0</v>
      </c>
      <c r="G144" s="276">
        <f>G145+G146+G147</f>
        <v>0</v>
      </c>
      <c r="H144" s="277" t="e">
        <f>H145+H146+#REF!</f>
        <v>#REF!</v>
      </c>
      <c r="I144" s="23">
        <v>0</v>
      </c>
      <c r="J144" s="147">
        <f t="shared" si="12"/>
        <v>0</v>
      </c>
      <c r="K144" s="148"/>
      <c r="L144" s="148"/>
    </row>
    <row r="145" spans="1:12" ht="15.75">
      <c r="A145" s="146" t="s">
        <v>36</v>
      </c>
      <c r="B145" s="146"/>
      <c r="C145" s="118">
        <v>0</v>
      </c>
      <c r="D145" s="112">
        <v>0</v>
      </c>
      <c r="E145" s="119">
        <f>G145-0</f>
        <v>0</v>
      </c>
      <c r="F145" s="23">
        <v>0</v>
      </c>
      <c r="G145" s="278">
        <v>0</v>
      </c>
      <c r="H145" s="279"/>
      <c r="I145" s="23">
        <v>0</v>
      </c>
      <c r="J145" s="147">
        <f t="shared" si="12"/>
        <v>0</v>
      </c>
      <c r="K145" s="148"/>
      <c r="L145" s="148"/>
    </row>
    <row r="146" spans="1:12" ht="15.75">
      <c r="A146" s="146" t="s">
        <v>37</v>
      </c>
      <c r="B146" s="146"/>
      <c r="C146" s="118">
        <v>0</v>
      </c>
      <c r="D146" s="112">
        <v>0</v>
      </c>
      <c r="E146" s="119">
        <f>G146-0</f>
        <v>0</v>
      </c>
      <c r="F146" s="23">
        <v>0</v>
      </c>
      <c r="G146" s="278">
        <v>0</v>
      </c>
      <c r="H146" s="279"/>
      <c r="I146" s="23">
        <v>0</v>
      </c>
      <c r="J146" s="147">
        <f t="shared" si="12"/>
        <v>0</v>
      </c>
      <c r="K146" s="148"/>
      <c r="L146" s="148"/>
    </row>
    <row r="147" spans="1:12" ht="15.75">
      <c r="A147" s="199" t="s">
        <v>142</v>
      </c>
      <c r="B147" s="199"/>
      <c r="C147" s="118">
        <v>0</v>
      </c>
      <c r="D147" s="112">
        <v>0</v>
      </c>
      <c r="E147" s="119">
        <f>G147-0</f>
        <v>0</v>
      </c>
      <c r="F147" s="23">
        <v>0</v>
      </c>
      <c r="G147" s="278">
        <v>0</v>
      </c>
      <c r="H147" s="279"/>
      <c r="I147" s="23">
        <v>0</v>
      </c>
      <c r="J147" s="147">
        <f>D147-G147</f>
        <v>0</v>
      </c>
      <c r="K147" s="148"/>
      <c r="L147" s="148"/>
    </row>
    <row r="148" spans="1:12" ht="15.75">
      <c r="A148" s="146" t="s">
        <v>38</v>
      </c>
      <c r="B148" s="146"/>
      <c r="C148" s="118">
        <f>C150+C149+C151+C152</f>
        <v>4066464206</v>
      </c>
      <c r="D148" s="112">
        <f>D150+D149+D151+D152</f>
        <v>4066464206</v>
      </c>
      <c r="E148" s="119">
        <f>E150+E149+E151+E152</f>
        <v>421290328.0300002</v>
      </c>
      <c r="F148" s="23">
        <f t="shared" si="11"/>
        <v>10.36011401276798</v>
      </c>
      <c r="G148" s="276">
        <f>G149+G150+G151+G152</f>
        <v>2186527329.3</v>
      </c>
      <c r="H148" s="277"/>
      <c r="I148" s="23">
        <f>(G148/D148)*100</f>
        <v>53.76974242325348</v>
      </c>
      <c r="J148" s="147">
        <f t="shared" si="12"/>
        <v>1879936876.6999998</v>
      </c>
      <c r="K148" s="148"/>
      <c r="L148" s="148"/>
    </row>
    <row r="149" spans="1:12" ht="15.75">
      <c r="A149" s="146" t="s">
        <v>39</v>
      </c>
      <c r="B149" s="146"/>
      <c r="C149" s="118">
        <v>4066464206</v>
      </c>
      <c r="D149" s="112">
        <v>4066464206</v>
      </c>
      <c r="E149" s="119">
        <f>G149-1765237001.27</f>
        <v>421290328.0300002</v>
      </c>
      <c r="F149" s="23">
        <f aca="true" t="shared" si="13" ref="F149:F154">(E149/D149)*100</f>
        <v>10.36011401276798</v>
      </c>
      <c r="G149" s="278">
        <v>2186527329.3</v>
      </c>
      <c r="H149" s="279"/>
      <c r="I149" s="23">
        <f>(G149/D149)*100</f>
        <v>53.76974242325348</v>
      </c>
      <c r="J149" s="147">
        <f t="shared" si="12"/>
        <v>1879936876.6999998</v>
      </c>
      <c r="K149" s="148"/>
      <c r="L149" s="148"/>
    </row>
    <row r="150" spans="1:12" ht="15.75">
      <c r="A150" s="146" t="s">
        <v>99</v>
      </c>
      <c r="B150" s="146"/>
      <c r="C150" s="118">
        <v>0</v>
      </c>
      <c r="D150" s="112">
        <v>0</v>
      </c>
      <c r="E150" s="119">
        <f>G150-0</f>
        <v>0</v>
      </c>
      <c r="F150" s="23">
        <v>0</v>
      </c>
      <c r="G150" s="278">
        <v>0</v>
      </c>
      <c r="H150" s="279"/>
      <c r="I150" s="23">
        <v>0</v>
      </c>
      <c r="J150" s="147">
        <f t="shared" si="12"/>
        <v>0</v>
      </c>
      <c r="K150" s="148"/>
      <c r="L150" s="148"/>
    </row>
    <row r="151" spans="1:12" ht="15.75">
      <c r="A151" s="146" t="s">
        <v>117</v>
      </c>
      <c r="B151" s="146"/>
      <c r="C151" s="118">
        <v>0</v>
      </c>
      <c r="D151" s="112">
        <v>0</v>
      </c>
      <c r="E151" s="119">
        <f>G151-0</f>
        <v>0</v>
      </c>
      <c r="F151" s="23">
        <v>0</v>
      </c>
      <c r="G151" s="278">
        <v>0</v>
      </c>
      <c r="H151" s="279"/>
      <c r="I151" s="23">
        <v>0</v>
      </c>
      <c r="J151" s="149">
        <f t="shared" si="12"/>
        <v>0</v>
      </c>
      <c r="K151" s="157"/>
      <c r="L151" s="157"/>
    </row>
    <row r="152" spans="1:12" ht="15.75">
      <c r="A152" s="146" t="s">
        <v>118</v>
      </c>
      <c r="B152" s="146"/>
      <c r="C152" s="118">
        <v>0</v>
      </c>
      <c r="D152" s="112">
        <v>0</v>
      </c>
      <c r="E152" s="119">
        <f>G152-0</f>
        <v>0</v>
      </c>
      <c r="F152" s="23">
        <v>0</v>
      </c>
      <c r="G152" s="278">
        <v>0</v>
      </c>
      <c r="H152" s="279"/>
      <c r="I152" s="23">
        <v>0</v>
      </c>
      <c r="J152" s="149">
        <f t="shared" si="12"/>
        <v>0</v>
      </c>
      <c r="K152" s="157"/>
      <c r="L152" s="157"/>
    </row>
    <row r="153" spans="1:12" ht="15.75">
      <c r="A153" s="146" t="s">
        <v>40</v>
      </c>
      <c r="B153" s="146"/>
      <c r="C153" s="118">
        <f>SUM(C154:C160)</f>
        <v>13506782</v>
      </c>
      <c r="D153" s="112">
        <f>SUM(D154:D160)</f>
        <v>13506782</v>
      </c>
      <c r="E153" s="119">
        <f>SUM(E154:E160)</f>
        <v>5647125.34</v>
      </c>
      <c r="F153" s="23">
        <f t="shared" si="13"/>
        <v>41.80955419284919</v>
      </c>
      <c r="G153" s="276">
        <f>SUM(G154:H160)</f>
        <v>9508392.98</v>
      </c>
      <c r="H153" s="277">
        <f>SUM(H154:H160)</f>
        <v>0</v>
      </c>
      <c r="I153" s="23">
        <f>(G153/D153)*100</f>
        <v>70.39717513764568</v>
      </c>
      <c r="J153" s="147">
        <f t="shared" si="12"/>
        <v>3998389.0199999996</v>
      </c>
      <c r="K153" s="148"/>
      <c r="L153" s="148"/>
    </row>
    <row r="154" spans="1:12" ht="15.75">
      <c r="A154" s="146" t="s">
        <v>119</v>
      </c>
      <c r="B154" s="146"/>
      <c r="C154" s="118">
        <v>13506782</v>
      </c>
      <c r="D154" s="112">
        <v>13506782</v>
      </c>
      <c r="E154" s="119">
        <f>G154-3861267.64</f>
        <v>5647125.34</v>
      </c>
      <c r="F154" s="23">
        <f t="shared" si="13"/>
        <v>41.80955419284919</v>
      </c>
      <c r="G154" s="278">
        <v>9508392.98</v>
      </c>
      <c r="H154" s="279"/>
      <c r="I154" s="23">
        <f>(G154/D154)*100</f>
        <v>70.39717513764568</v>
      </c>
      <c r="J154" s="147">
        <f t="shared" si="12"/>
        <v>3998389.0199999996</v>
      </c>
      <c r="K154" s="148"/>
      <c r="L154" s="148"/>
    </row>
    <row r="155" spans="1:12" ht="15.75">
      <c r="A155" s="146" t="s">
        <v>120</v>
      </c>
      <c r="B155" s="146"/>
      <c r="C155" s="118">
        <v>0</v>
      </c>
      <c r="D155" s="112">
        <v>0</v>
      </c>
      <c r="E155" s="119">
        <f aca="true" t="shared" si="14" ref="E155:E162">G155-0</f>
        <v>0</v>
      </c>
      <c r="F155" s="23">
        <v>0</v>
      </c>
      <c r="G155" s="278">
        <v>0</v>
      </c>
      <c r="H155" s="279"/>
      <c r="I155" s="23">
        <v>0</v>
      </c>
      <c r="J155" s="147">
        <f t="shared" si="12"/>
        <v>0</v>
      </c>
      <c r="K155" s="148"/>
      <c r="L155" s="148"/>
    </row>
    <row r="156" spans="1:12" ht="15.75">
      <c r="A156" s="146" t="s">
        <v>123</v>
      </c>
      <c r="B156" s="146"/>
      <c r="C156" s="118">
        <v>0</v>
      </c>
      <c r="D156" s="112">
        <v>0</v>
      </c>
      <c r="E156" s="119">
        <f t="shared" si="14"/>
        <v>0</v>
      </c>
      <c r="F156" s="23">
        <v>0</v>
      </c>
      <c r="G156" s="278">
        <v>0</v>
      </c>
      <c r="H156" s="279"/>
      <c r="I156" s="23">
        <v>0</v>
      </c>
      <c r="J156" s="147">
        <f t="shared" si="12"/>
        <v>0</v>
      </c>
      <c r="K156" s="148"/>
      <c r="L156" s="148"/>
    </row>
    <row r="157" spans="1:12" ht="15.75">
      <c r="A157" s="146" t="s">
        <v>121</v>
      </c>
      <c r="B157" s="146"/>
      <c r="C157" s="118">
        <v>0</v>
      </c>
      <c r="D157" s="112">
        <v>0</v>
      </c>
      <c r="E157" s="119">
        <f t="shared" si="14"/>
        <v>0</v>
      </c>
      <c r="F157" s="23">
        <v>0</v>
      </c>
      <c r="G157" s="278">
        <v>0</v>
      </c>
      <c r="H157" s="279"/>
      <c r="I157" s="23">
        <v>0</v>
      </c>
      <c r="J157" s="147">
        <f t="shared" si="12"/>
        <v>0</v>
      </c>
      <c r="K157" s="148"/>
      <c r="L157" s="148"/>
    </row>
    <row r="158" spans="1:12" ht="15" customHeight="1">
      <c r="A158" s="146" t="s">
        <v>122</v>
      </c>
      <c r="B158" s="146"/>
      <c r="C158" s="118">
        <v>0</v>
      </c>
      <c r="D158" s="112">
        <v>0</v>
      </c>
      <c r="E158" s="119">
        <f t="shared" si="14"/>
        <v>0</v>
      </c>
      <c r="F158" s="23">
        <v>0</v>
      </c>
      <c r="G158" s="278">
        <v>0</v>
      </c>
      <c r="H158" s="279"/>
      <c r="I158" s="23">
        <v>0</v>
      </c>
      <c r="J158" s="147">
        <f aca="true" t="shared" si="15" ref="J158:J177">D158-G158</f>
        <v>0</v>
      </c>
      <c r="K158" s="148"/>
      <c r="L158" s="148"/>
    </row>
    <row r="159" spans="1:12" ht="15.75">
      <c r="A159" s="146" t="s">
        <v>125</v>
      </c>
      <c r="B159" s="146"/>
      <c r="C159" s="118">
        <v>0</v>
      </c>
      <c r="D159" s="112">
        <v>0</v>
      </c>
      <c r="E159" s="119">
        <f t="shared" si="14"/>
        <v>0</v>
      </c>
      <c r="F159" s="23">
        <v>0</v>
      </c>
      <c r="G159" s="278">
        <v>0</v>
      </c>
      <c r="H159" s="279"/>
      <c r="I159" s="23">
        <v>0</v>
      </c>
      <c r="J159" s="147">
        <f t="shared" si="15"/>
        <v>0</v>
      </c>
      <c r="K159" s="148"/>
      <c r="L159" s="148"/>
    </row>
    <row r="160" spans="1:12" ht="15.75">
      <c r="A160" s="146" t="s">
        <v>124</v>
      </c>
      <c r="B160" s="146"/>
      <c r="C160" s="118">
        <v>0</v>
      </c>
      <c r="D160" s="112">
        <v>0</v>
      </c>
      <c r="E160" s="119">
        <f t="shared" si="14"/>
        <v>0</v>
      </c>
      <c r="F160" s="23">
        <v>0</v>
      </c>
      <c r="G160" s="278">
        <v>0</v>
      </c>
      <c r="H160" s="279"/>
      <c r="I160" s="23">
        <v>0</v>
      </c>
      <c r="J160" s="147">
        <f t="shared" si="15"/>
        <v>0</v>
      </c>
      <c r="K160" s="148"/>
      <c r="L160" s="148"/>
    </row>
    <row r="161" spans="1:12" ht="15.75">
      <c r="A161" s="146" t="s">
        <v>41</v>
      </c>
      <c r="B161" s="146"/>
      <c r="C161" s="118">
        <v>0</v>
      </c>
      <c r="D161" s="112">
        <v>0</v>
      </c>
      <c r="E161" s="119">
        <f t="shared" si="14"/>
        <v>0</v>
      </c>
      <c r="F161" s="23">
        <v>0</v>
      </c>
      <c r="G161" s="276">
        <v>0</v>
      </c>
      <c r="H161" s="277"/>
      <c r="I161" s="23">
        <v>0</v>
      </c>
      <c r="J161" s="147">
        <f t="shared" si="15"/>
        <v>0</v>
      </c>
      <c r="K161" s="148"/>
      <c r="L161" s="148"/>
    </row>
    <row r="162" spans="1:12" ht="15.75">
      <c r="A162" s="146" t="s">
        <v>42</v>
      </c>
      <c r="B162" s="146"/>
      <c r="C162" s="118">
        <v>0</v>
      </c>
      <c r="D162" s="112">
        <v>0</v>
      </c>
      <c r="E162" s="119">
        <f t="shared" si="14"/>
        <v>0</v>
      </c>
      <c r="F162" s="23">
        <v>0</v>
      </c>
      <c r="G162" s="276">
        <v>0</v>
      </c>
      <c r="H162" s="277"/>
      <c r="I162" s="23">
        <v>0</v>
      </c>
      <c r="J162" s="147">
        <f t="shared" si="15"/>
        <v>0</v>
      </c>
      <c r="K162" s="148"/>
      <c r="L162" s="148"/>
    </row>
    <row r="163" spans="1:12" ht="15.75">
      <c r="A163" s="146" t="s">
        <v>43</v>
      </c>
      <c r="B163" s="146"/>
      <c r="C163" s="118">
        <f>SUM(C164:C168)</f>
        <v>614360854</v>
      </c>
      <c r="D163" s="112">
        <f>SUM(D164:D168)</f>
        <v>614360854</v>
      </c>
      <c r="E163" s="119">
        <f>SUM(E164:E168)</f>
        <v>87658419.16000003</v>
      </c>
      <c r="F163" s="23">
        <f aca="true" t="shared" si="16" ref="F163:F171">(E163/D163)*100</f>
        <v>14.268229915573368</v>
      </c>
      <c r="G163" s="276">
        <f>SUM(G164:H168)</f>
        <v>389400209.36</v>
      </c>
      <c r="H163" s="277"/>
      <c r="I163" s="23">
        <f aca="true" t="shared" si="17" ref="I163:I171">(G163/D163)*100</f>
        <v>63.382978720841486</v>
      </c>
      <c r="J163" s="147">
        <f t="shared" si="15"/>
        <v>224960644.64</v>
      </c>
      <c r="K163" s="148"/>
      <c r="L163" s="148"/>
    </row>
    <row r="164" spans="1:12" ht="15.75">
      <c r="A164" s="146" t="s">
        <v>112</v>
      </c>
      <c r="B164" s="146"/>
      <c r="C164" s="118">
        <v>212652</v>
      </c>
      <c r="D164" s="112">
        <v>212652</v>
      </c>
      <c r="E164" s="119">
        <f>G164-594376.28</f>
        <v>84746.30999999994</v>
      </c>
      <c r="F164" s="23">
        <f t="shared" si="16"/>
        <v>39.852110490378614</v>
      </c>
      <c r="G164" s="278">
        <v>679122.59</v>
      </c>
      <c r="H164" s="279"/>
      <c r="I164" s="23">
        <f t="shared" si="17"/>
        <v>319.3586658014032</v>
      </c>
      <c r="J164" s="147">
        <f t="shared" si="15"/>
        <v>-466470.58999999997</v>
      </c>
      <c r="K164" s="148"/>
      <c r="L164" s="148"/>
    </row>
    <row r="165" spans="1:12" ht="15.75">
      <c r="A165" s="146" t="s">
        <v>113</v>
      </c>
      <c r="B165" s="146"/>
      <c r="C165" s="118">
        <v>0</v>
      </c>
      <c r="D165" s="112">
        <v>0</v>
      </c>
      <c r="E165" s="119">
        <f>G165-0</f>
        <v>0</v>
      </c>
      <c r="F165" s="23">
        <v>0</v>
      </c>
      <c r="G165" s="278">
        <v>0</v>
      </c>
      <c r="H165" s="279"/>
      <c r="I165" s="23">
        <v>0</v>
      </c>
      <c r="J165" s="149">
        <f t="shared" si="15"/>
        <v>0</v>
      </c>
      <c r="K165" s="157"/>
      <c r="L165" s="157"/>
    </row>
    <row r="166" spans="1:12" ht="15.75">
      <c r="A166" s="146" t="s">
        <v>114</v>
      </c>
      <c r="B166" s="146"/>
      <c r="C166" s="118">
        <v>604682202</v>
      </c>
      <c r="D166" s="112">
        <v>604682202</v>
      </c>
      <c r="E166" s="119">
        <f>G166-222635776.98</f>
        <v>69878238.20000002</v>
      </c>
      <c r="F166" s="23">
        <f t="shared" si="16"/>
        <v>11.556192321995946</v>
      </c>
      <c r="G166" s="278">
        <v>292514015.18</v>
      </c>
      <c r="H166" s="279"/>
      <c r="I166" s="23">
        <f t="shared" si="17"/>
        <v>48.37483461767244</v>
      </c>
      <c r="J166" s="149">
        <f t="shared" si="15"/>
        <v>312168186.82</v>
      </c>
      <c r="K166" s="157"/>
      <c r="L166" s="157"/>
    </row>
    <row r="167" spans="1:12" ht="15.75">
      <c r="A167" s="146" t="s">
        <v>115</v>
      </c>
      <c r="B167" s="146"/>
      <c r="C167" s="118">
        <v>0</v>
      </c>
      <c r="D167" s="112">
        <v>0</v>
      </c>
      <c r="E167" s="119">
        <f>G167-0</f>
        <v>0</v>
      </c>
      <c r="F167" s="23">
        <v>0</v>
      </c>
      <c r="G167" s="278">
        <v>0</v>
      </c>
      <c r="H167" s="279"/>
      <c r="I167" s="23">
        <v>0</v>
      </c>
      <c r="J167" s="149">
        <f t="shared" si="15"/>
        <v>0</v>
      </c>
      <c r="K167" s="157"/>
      <c r="L167" s="157"/>
    </row>
    <row r="168" spans="1:12" ht="15.75">
      <c r="A168" s="146" t="s">
        <v>116</v>
      </c>
      <c r="B168" s="146"/>
      <c r="C168" s="118">
        <v>9466000</v>
      </c>
      <c r="D168" s="112">
        <v>9466000</v>
      </c>
      <c r="E168" s="119">
        <f>G168-78511636.94</f>
        <v>17695434.650000006</v>
      </c>
      <c r="F168" s="23">
        <f t="shared" si="16"/>
        <v>186.93677001901548</v>
      </c>
      <c r="G168" s="278">
        <v>96207071.59</v>
      </c>
      <c r="H168" s="279"/>
      <c r="I168" s="23">
        <f t="shared" si="17"/>
        <v>1016.3434564758082</v>
      </c>
      <c r="J168" s="149">
        <f t="shared" si="15"/>
        <v>-86741071.59</v>
      </c>
      <c r="K168" s="157"/>
      <c r="L168" s="157"/>
    </row>
    <row r="169" spans="1:12" ht="15.75">
      <c r="A169" s="146" t="s">
        <v>44</v>
      </c>
      <c r="B169" s="146"/>
      <c r="C169" s="118">
        <f>SUM(C170:C177)</f>
        <v>65612841</v>
      </c>
      <c r="D169" s="112">
        <f>SUM(D170:D177)</f>
        <v>65612841</v>
      </c>
      <c r="E169" s="119">
        <f>SUM(E170:E177)</f>
        <v>0</v>
      </c>
      <c r="F169" s="23">
        <f t="shared" si="16"/>
        <v>0</v>
      </c>
      <c r="G169" s="276">
        <f>SUM(G170:H177)</f>
        <v>0</v>
      </c>
      <c r="H169" s="277">
        <f>SUM(H170:H174)</f>
        <v>0</v>
      </c>
      <c r="I169" s="23">
        <f t="shared" si="17"/>
        <v>0</v>
      </c>
      <c r="J169" s="147">
        <f t="shared" si="15"/>
        <v>65612841</v>
      </c>
      <c r="K169" s="148"/>
      <c r="L169" s="148"/>
    </row>
    <row r="170" spans="1:12" ht="15.75">
      <c r="A170" s="146" t="s">
        <v>107</v>
      </c>
      <c r="B170" s="146"/>
      <c r="C170" s="118">
        <v>0</v>
      </c>
      <c r="D170" s="112">
        <v>0</v>
      </c>
      <c r="E170" s="119">
        <f aca="true" t="shared" si="18" ref="E170:E177">G170-0</f>
        <v>0</v>
      </c>
      <c r="F170" s="23">
        <v>0</v>
      </c>
      <c r="G170" s="278">
        <v>0</v>
      </c>
      <c r="H170" s="279"/>
      <c r="I170" s="23">
        <v>0</v>
      </c>
      <c r="J170" s="147">
        <f t="shared" si="15"/>
        <v>0</v>
      </c>
      <c r="K170" s="148"/>
      <c r="L170" s="148"/>
    </row>
    <row r="171" spans="1:12" ht="15.75">
      <c r="A171" s="146" t="s">
        <v>108</v>
      </c>
      <c r="B171" s="146"/>
      <c r="C171" s="118">
        <v>65612841</v>
      </c>
      <c r="D171" s="112">
        <v>65612841</v>
      </c>
      <c r="E171" s="119">
        <f t="shared" si="18"/>
        <v>0</v>
      </c>
      <c r="F171" s="23">
        <f t="shared" si="16"/>
        <v>0</v>
      </c>
      <c r="G171" s="278">
        <v>0</v>
      </c>
      <c r="H171" s="279"/>
      <c r="I171" s="23">
        <f t="shared" si="17"/>
        <v>0</v>
      </c>
      <c r="J171" s="147">
        <f t="shared" si="15"/>
        <v>65612841</v>
      </c>
      <c r="K171" s="148"/>
      <c r="L171" s="148"/>
    </row>
    <row r="172" spans="1:12" ht="15.75">
      <c r="A172" s="146" t="s">
        <v>109</v>
      </c>
      <c r="B172" s="146"/>
      <c r="C172" s="118">
        <v>0</v>
      </c>
      <c r="D172" s="112">
        <v>0</v>
      </c>
      <c r="E172" s="119">
        <f t="shared" si="18"/>
        <v>0</v>
      </c>
      <c r="F172" s="23">
        <v>0</v>
      </c>
      <c r="G172" s="278">
        <v>0</v>
      </c>
      <c r="H172" s="279"/>
      <c r="I172" s="23">
        <v>0</v>
      </c>
      <c r="J172" s="147">
        <f t="shared" si="15"/>
        <v>0</v>
      </c>
      <c r="K172" s="148"/>
      <c r="L172" s="148"/>
    </row>
    <row r="173" spans="1:12" ht="15.75">
      <c r="A173" s="146" t="s">
        <v>45</v>
      </c>
      <c r="B173" s="146"/>
      <c r="C173" s="118">
        <v>0</v>
      </c>
      <c r="D173" s="112">
        <v>0</v>
      </c>
      <c r="E173" s="119">
        <f t="shared" si="18"/>
        <v>0</v>
      </c>
      <c r="F173" s="23">
        <v>0</v>
      </c>
      <c r="G173" s="278">
        <v>0</v>
      </c>
      <c r="H173" s="279"/>
      <c r="I173" s="23">
        <v>0</v>
      </c>
      <c r="J173" s="147">
        <f t="shared" si="15"/>
        <v>0</v>
      </c>
      <c r="K173" s="148"/>
      <c r="L173" s="148"/>
    </row>
    <row r="174" spans="1:12" ht="15.75">
      <c r="A174" s="146" t="s">
        <v>91</v>
      </c>
      <c r="B174" s="146"/>
      <c r="C174" s="118">
        <v>0</v>
      </c>
      <c r="D174" s="112">
        <v>0</v>
      </c>
      <c r="E174" s="119">
        <f t="shared" si="18"/>
        <v>0</v>
      </c>
      <c r="F174" s="23">
        <v>0</v>
      </c>
      <c r="G174" s="278">
        <v>0</v>
      </c>
      <c r="H174" s="279"/>
      <c r="I174" s="23">
        <v>0</v>
      </c>
      <c r="J174" s="147">
        <f t="shared" si="15"/>
        <v>0</v>
      </c>
      <c r="K174" s="148"/>
      <c r="L174" s="148"/>
    </row>
    <row r="175" spans="1:12" ht="15.75">
      <c r="A175" s="146" t="s">
        <v>46</v>
      </c>
      <c r="B175" s="146"/>
      <c r="C175" s="118">
        <v>0</v>
      </c>
      <c r="D175" s="112">
        <v>0</v>
      </c>
      <c r="E175" s="119">
        <f t="shared" si="18"/>
        <v>0</v>
      </c>
      <c r="F175" s="23">
        <v>0</v>
      </c>
      <c r="G175" s="278">
        <v>0</v>
      </c>
      <c r="H175" s="279"/>
      <c r="I175" s="23">
        <v>0</v>
      </c>
      <c r="J175" s="149">
        <f t="shared" si="15"/>
        <v>0</v>
      </c>
      <c r="K175" s="157"/>
      <c r="L175" s="157"/>
    </row>
    <row r="176" spans="1:12" ht="15.75">
      <c r="A176" s="146" t="s">
        <v>110</v>
      </c>
      <c r="B176" s="146"/>
      <c r="C176" s="118">
        <v>0</v>
      </c>
      <c r="D176" s="112">
        <v>0</v>
      </c>
      <c r="E176" s="119">
        <f t="shared" si="18"/>
        <v>0</v>
      </c>
      <c r="F176" s="23">
        <v>0</v>
      </c>
      <c r="G176" s="278">
        <v>0</v>
      </c>
      <c r="H176" s="279"/>
      <c r="I176" s="23">
        <v>0</v>
      </c>
      <c r="J176" s="149">
        <f t="shared" si="15"/>
        <v>0</v>
      </c>
      <c r="K176" s="157"/>
      <c r="L176" s="157"/>
    </row>
    <row r="177" spans="1:12" ht="15.75">
      <c r="A177" s="146" t="s">
        <v>111</v>
      </c>
      <c r="B177" s="146"/>
      <c r="C177" s="118">
        <v>0</v>
      </c>
      <c r="D177" s="112">
        <v>0</v>
      </c>
      <c r="E177" s="119">
        <f t="shared" si="18"/>
        <v>0</v>
      </c>
      <c r="F177" s="23">
        <v>0</v>
      </c>
      <c r="G177" s="278">
        <v>0</v>
      </c>
      <c r="H177" s="279"/>
      <c r="I177" s="23">
        <v>0</v>
      </c>
      <c r="J177" s="149">
        <f t="shared" si="15"/>
        <v>0</v>
      </c>
      <c r="K177" s="157"/>
      <c r="L177" s="157"/>
    </row>
    <row r="178" spans="1:12" ht="15.75">
      <c r="A178" s="146" t="s">
        <v>47</v>
      </c>
      <c r="B178" s="146"/>
      <c r="C178" s="118">
        <f>SUM(C179:C182)</f>
        <v>1280394761</v>
      </c>
      <c r="D178" s="112">
        <f>SUM(D179:D182)</f>
        <v>1268689976.1</v>
      </c>
      <c r="E178" s="119">
        <f>SUM(E179:E182)</f>
        <v>193353076.63000003</v>
      </c>
      <c r="F178" s="23">
        <f>(E178/D178)*100</f>
        <v>15.240372374058994</v>
      </c>
      <c r="G178" s="280">
        <f>SUM(G179:H182)</f>
        <v>1021146890.27</v>
      </c>
      <c r="H178" s="281">
        <f>SUM(H179:H182)</f>
        <v>0</v>
      </c>
      <c r="I178" s="23">
        <f>(G178/D178)*100</f>
        <v>80.48829182122519</v>
      </c>
      <c r="J178" s="147">
        <f>D178-G178</f>
        <v>247543085.82999992</v>
      </c>
      <c r="K178" s="148"/>
      <c r="L178" s="148"/>
    </row>
    <row r="179" spans="1:12" ht="15.75">
      <c r="A179" s="146" t="s">
        <v>103</v>
      </c>
      <c r="B179" s="146"/>
      <c r="C179" s="118">
        <v>0</v>
      </c>
      <c r="D179" s="112">
        <v>0</v>
      </c>
      <c r="E179" s="119">
        <f>G179-11596.2</f>
        <v>3747.779999999999</v>
      </c>
      <c r="F179" s="23">
        <v>0</v>
      </c>
      <c r="G179" s="278">
        <v>15343.98</v>
      </c>
      <c r="H179" s="279"/>
      <c r="I179" s="23">
        <v>0</v>
      </c>
      <c r="J179" s="147">
        <f>D179-G179</f>
        <v>-15343.98</v>
      </c>
      <c r="K179" s="148"/>
      <c r="L179" s="148"/>
    </row>
    <row r="180" spans="1:12" ht="15.75">
      <c r="A180" s="146" t="s">
        <v>104</v>
      </c>
      <c r="B180" s="146"/>
      <c r="C180" s="118">
        <v>1224401781</v>
      </c>
      <c r="D180" s="112">
        <v>1212696996.1</v>
      </c>
      <c r="E180" s="119">
        <f>G180-742880541.06</f>
        <v>193349328.85000002</v>
      </c>
      <c r="F180" s="23">
        <f>(E180/D180)*100</f>
        <v>15.943746003478704</v>
      </c>
      <c r="G180" s="280">
        <v>936229869.91</v>
      </c>
      <c r="H180" s="281"/>
      <c r="I180" s="23">
        <f>(G180/D180)*100</f>
        <v>77.2022914974548</v>
      </c>
      <c r="J180" s="147">
        <f>D180-G180</f>
        <v>276467126.18999994</v>
      </c>
      <c r="K180" s="148"/>
      <c r="L180" s="148"/>
    </row>
    <row r="181" spans="1:12" ht="15.75">
      <c r="A181" s="146" t="s">
        <v>105</v>
      </c>
      <c r="B181" s="146"/>
      <c r="C181" s="118">
        <v>0</v>
      </c>
      <c r="D181" s="23">
        <v>0</v>
      </c>
      <c r="E181" s="119">
        <f>G181-0</f>
        <v>0</v>
      </c>
      <c r="F181" s="23">
        <v>0</v>
      </c>
      <c r="G181" s="278">
        <v>0</v>
      </c>
      <c r="H181" s="279"/>
      <c r="I181" s="23">
        <v>0</v>
      </c>
      <c r="J181" s="147">
        <f>D181-G181</f>
        <v>0</v>
      </c>
      <c r="K181" s="148"/>
      <c r="L181" s="148"/>
    </row>
    <row r="182" spans="1:12" ht="15" customHeight="1">
      <c r="A182" s="146" t="s">
        <v>106</v>
      </c>
      <c r="B182" s="146"/>
      <c r="C182" s="118">
        <v>55992980</v>
      </c>
      <c r="D182" s="118">
        <v>55992980</v>
      </c>
      <c r="E182" s="119">
        <f>G182-84901676.38</f>
        <v>0</v>
      </c>
      <c r="F182" s="23">
        <f>(E182/D182)*100</f>
        <v>0</v>
      </c>
      <c r="G182" s="278">
        <v>84901676.38</v>
      </c>
      <c r="H182" s="279"/>
      <c r="I182" s="23">
        <f>(G182/D182)*100</f>
        <v>151.62914418914656</v>
      </c>
      <c r="J182" s="147">
        <f>D182-G182</f>
        <v>-28908696.379999995</v>
      </c>
      <c r="K182" s="148"/>
      <c r="L182" s="148"/>
    </row>
    <row r="183" spans="1:12" ht="15.75">
      <c r="A183" s="183" t="s">
        <v>48</v>
      </c>
      <c r="B183" s="183"/>
      <c r="C183" s="116">
        <f>C184+C187+C191+C192+C201</f>
        <v>0</v>
      </c>
      <c r="D183" s="117">
        <f>D184+D187+D191+D192+D201</f>
        <v>106598.42</v>
      </c>
      <c r="E183" s="115">
        <f>E184+E187+E191+E192+E201</f>
        <v>23949.770000000004</v>
      </c>
      <c r="F183" s="18">
        <f>(E183/D183)*100</f>
        <v>22.467284224287756</v>
      </c>
      <c r="G183" s="288">
        <f>G184+G187+G191+G192+G201</f>
        <v>108319.27</v>
      </c>
      <c r="H183" s="289"/>
      <c r="I183" s="18">
        <f>(G183/D183)*100</f>
        <v>101.61432974334892</v>
      </c>
      <c r="J183" s="197">
        <f aca="true" t="shared" si="19" ref="J183:J200">D183-G183</f>
        <v>-1720.8500000000058</v>
      </c>
      <c r="K183" s="198"/>
      <c r="L183" s="198"/>
    </row>
    <row r="184" spans="1:12" ht="15.75">
      <c r="A184" s="146" t="s">
        <v>49</v>
      </c>
      <c r="B184" s="146"/>
      <c r="C184" s="118">
        <f>C185+C186</f>
        <v>0</v>
      </c>
      <c r="D184" s="112">
        <f>D185+D186</f>
        <v>0</v>
      </c>
      <c r="E184" s="119">
        <f>E185+E186</f>
        <v>0</v>
      </c>
      <c r="F184" s="23">
        <v>0</v>
      </c>
      <c r="G184" s="278">
        <f>G185+G186</f>
        <v>0</v>
      </c>
      <c r="H184" s="279"/>
      <c r="I184" s="23">
        <v>0</v>
      </c>
      <c r="J184" s="147">
        <f t="shared" si="19"/>
        <v>0</v>
      </c>
      <c r="K184" s="148"/>
      <c r="L184" s="148"/>
    </row>
    <row r="185" spans="1:12" ht="15.75">
      <c r="A185" s="146" t="s">
        <v>126</v>
      </c>
      <c r="B185" s="146"/>
      <c r="C185" s="118">
        <v>0</v>
      </c>
      <c r="D185" s="112">
        <v>0</v>
      </c>
      <c r="E185" s="119">
        <f>G185-0</f>
        <v>0</v>
      </c>
      <c r="F185" s="23">
        <v>0</v>
      </c>
      <c r="G185" s="278">
        <v>0</v>
      </c>
      <c r="H185" s="279"/>
      <c r="I185" s="23">
        <v>0</v>
      </c>
      <c r="J185" s="147">
        <f t="shared" si="19"/>
        <v>0</v>
      </c>
      <c r="K185" s="148"/>
      <c r="L185" s="148"/>
    </row>
    <row r="186" spans="1:12" ht="15.75">
      <c r="A186" s="146" t="s">
        <v>127</v>
      </c>
      <c r="B186" s="146"/>
      <c r="C186" s="118">
        <v>0</v>
      </c>
      <c r="D186" s="112">
        <v>0</v>
      </c>
      <c r="E186" s="119">
        <f>G186-0</f>
        <v>0</v>
      </c>
      <c r="F186" s="23">
        <v>0</v>
      </c>
      <c r="G186" s="278">
        <v>0</v>
      </c>
      <c r="H186" s="279"/>
      <c r="I186" s="23">
        <v>0</v>
      </c>
      <c r="J186" s="147">
        <f t="shared" si="19"/>
        <v>0</v>
      </c>
      <c r="K186" s="148"/>
      <c r="L186" s="148"/>
    </row>
    <row r="187" spans="1:12" ht="15.75">
      <c r="A187" s="146" t="s">
        <v>50</v>
      </c>
      <c r="B187" s="146"/>
      <c r="C187" s="118">
        <f>C188+C189+C190</f>
        <v>0</v>
      </c>
      <c r="D187" s="112">
        <f>D188+D189+D190</f>
        <v>0</v>
      </c>
      <c r="E187" s="119">
        <f>E188+E189+E190</f>
        <v>0</v>
      </c>
      <c r="F187" s="23">
        <v>0</v>
      </c>
      <c r="G187" s="278">
        <f>SUM(G188:H190)</f>
        <v>0</v>
      </c>
      <c r="H187" s="279"/>
      <c r="I187" s="23">
        <v>0</v>
      </c>
      <c r="J187" s="147">
        <f t="shared" si="19"/>
        <v>0</v>
      </c>
      <c r="K187" s="148"/>
      <c r="L187" s="148"/>
    </row>
    <row r="188" spans="1:12" ht="15.75">
      <c r="A188" s="146" t="s">
        <v>51</v>
      </c>
      <c r="B188" s="146"/>
      <c r="C188" s="118">
        <v>0</v>
      </c>
      <c r="D188" s="112">
        <v>0</v>
      </c>
      <c r="E188" s="119">
        <f>G188-0</f>
        <v>0</v>
      </c>
      <c r="F188" s="23">
        <v>0</v>
      </c>
      <c r="G188" s="278">
        <v>0</v>
      </c>
      <c r="H188" s="279"/>
      <c r="I188" s="23">
        <v>0</v>
      </c>
      <c r="J188" s="147">
        <f t="shared" si="19"/>
        <v>0</v>
      </c>
      <c r="K188" s="148"/>
      <c r="L188" s="148"/>
    </row>
    <row r="189" spans="1:12" ht="15.75">
      <c r="A189" s="146" t="s">
        <v>52</v>
      </c>
      <c r="B189" s="146"/>
      <c r="C189" s="118">
        <v>0</v>
      </c>
      <c r="D189" s="112">
        <v>0</v>
      </c>
      <c r="E189" s="119">
        <f>G189-0</f>
        <v>0</v>
      </c>
      <c r="F189" s="23">
        <v>0</v>
      </c>
      <c r="G189" s="278">
        <v>0</v>
      </c>
      <c r="H189" s="279"/>
      <c r="I189" s="23">
        <v>0</v>
      </c>
      <c r="J189" s="147">
        <f t="shared" si="19"/>
        <v>0</v>
      </c>
      <c r="K189" s="148"/>
      <c r="L189" s="148"/>
    </row>
    <row r="190" spans="1:12" ht="15.75">
      <c r="A190" s="146" t="s">
        <v>128</v>
      </c>
      <c r="B190" s="146"/>
      <c r="C190" s="118">
        <v>0</v>
      </c>
      <c r="D190" s="112">
        <v>0</v>
      </c>
      <c r="E190" s="119">
        <f>G190-0</f>
        <v>0</v>
      </c>
      <c r="F190" s="23">
        <v>0</v>
      </c>
      <c r="G190" s="278">
        <v>0</v>
      </c>
      <c r="H190" s="279"/>
      <c r="I190" s="23">
        <v>0</v>
      </c>
      <c r="J190" s="149">
        <f t="shared" si="19"/>
        <v>0</v>
      </c>
      <c r="K190" s="157"/>
      <c r="L190" s="157"/>
    </row>
    <row r="191" spans="1:12" ht="15.75">
      <c r="A191" s="146" t="s">
        <v>53</v>
      </c>
      <c r="B191" s="146"/>
      <c r="C191" s="118">
        <v>0</v>
      </c>
      <c r="D191" s="112">
        <v>106598.42</v>
      </c>
      <c r="E191" s="119">
        <f>G191-84369.5</f>
        <v>23949.770000000004</v>
      </c>
      <c r="F191" s="23">
        <f>(E191/D191)*100</f>
        <v>22.467284224287756</v>
      </c>
      <c r="G191" s="278">
        <v>108319.27</v>
      </c>
      <c r="H191" s="279"/>
      <c r="I191" s="23">
        <f>(G191/D191)*100</f>
        <v>101.61432974334892</v>
      </c>
      <c r="J191" s="147">
        <f t="shared" si="19"/>
        <v>-1720.8500000000058</v>
      </c>
      <c r="K191" s="148"/>
      <c r="L191" s="148"/>
    </row>
    <row r="192" spans="1:12" ht="15.75">
      <c r="A192" s="146" t="s">
        <v>54</v>
      </c>
      <c r="B192" s="146"/>
      <c r="C192" s="118">
        <f>SUM(C193:C200)</f>
        <v>0</v>
      </c>
      <c r="D192" s="118">
        <f>SUM(D193:D200)</f>
        <v>0</v>
      </c>
      <c r="E192" s="119">
        <f>SUM(E193:E200)</f>
        <v>0</v>
      </c>
      <c r="F192" s="23">
        <v>0</v>
      </c>
      <c r="G192" s="278">
        <f>SUM(G193:H200)</f>
        <v>0</v>
      </c>
      <c r="H192" s="279">
        <f>SUM(H193:H200)</f>
        <v>0</v>
      </c>
      <c r="I192" s="23">
        <v>0</v>
      </c>
      <c r="J192" s="147">
        <f t="shared" si="19"/>
        <v>0</v>
      </c>
      <c r="K192" s="148"/>
      <c r="L192" s="148"/>
    </row>
    <row r="193" spans="1:12" ht="15.75">
      <c r="A193" s="146" t="s">
        <v>107</v>
      </c>
      <c r="B193" s="146"/>
      <c r="C193" s="118">
        <v>0</v>
      </c>
      <c r="D193" s="112">
        <v>0</v>
      </c>
      <c r="E193" s="119">
        <f aca="true" t="shared" si="20" ref="E193:E200">G193-0</f>
        <v>0</v>
      </c>
      <c r="F193" s="23">
        <v>0</v>
      </c>
      <c r="G193" s="278">
        <v>0</v>
      </c>
      <c r="H193" s="279"/>
      <c r="I193" s="23">
        <v>0</v>
      </c>
      <c r="J193" s="147">
        <f t="shared" si="19"/>
        <v>0</v>
      </c>
      <c r="K193" s="148"/>
      <c r="L193" s="148"/>
    </row>
    <row r="194" spans="1:12" ht="15.75">
      <c r="A194" s="146" t="s">
        <v>108</v>
      </c>
      <c r="B194" s="146"/>
      <c r="C194" s="118">
        <v>0</v>
      </c>
      <c r="D194" s="112">
        <v>0</v>
      </c>
      <c r="E194" s="119">
        <f t="shared" si="20"/>
        <v>0</v>
      </c>
      <c r="F194" s="23">
        <v>0</v>
      </c>
      <c r="G194" s="278">
        <v>0</v>
      </c>
      <c r="H194" s="279"/>
      <c r="I194" s="23">
        <v>0</v>
      </c>
      <c r="J194" s="147">
        <f t="shared" si="19"/>
        <v>0</v>
      </c>
      <c r="K194" s="148"/>
      <c r="L194" s="148"/>
    </row>
    <row r="195" spans="1:12" ht="15.75">
      <c r="A195" s="146" t="s">
        <v>109</v>
      </c>
      <c r="B195" s="146"/>
      <c r="C195" s="118">
        <v>0</v>
      </c>
      <c r="D195" s="112">
        <v>0</v>
      </c>
      <c r="E195" s="119">
        <f t="shared" si="20"/>
        <v>0</v>
      </c>
      <c r="F195" s="23">
        <v>0</v>
      </c>
      <c r="G195" s="278">
        <v>0</v>
      </c>
      <c r="H195" s="279"/>
      <c r="I195" s="23">
        <v>0</v>
      </c>
      <c r="J195" s="147">
        <f t="shared" si="19"/>
        <v>0</v>
      </c>
      <c r="K195" s="148"/>
      <c r="L195" s="148"/>
    </row>
    <row r="196" spans="1:12" ht="15.75">
      <c r="A196" s="146" t="s">
        <v>45</v>
      </c>
      <c r="B196" s="146"/>
      <c r="C196" s="118">
        <v>0</v>
      </c>
      <c r="D196" s="112">
        <v>0</v>
      </c>
      <c r="E196" s="119">
        <f t="shared" si="20"/>
        <v>0</v>
      </c>
      <c r="F196" s="23">
        <v>0</v>
      </c>
      <c r="G196" s="278">
        <v>0</v>
      </c>
      <c r="H196" s="279"/>
      <c r="I196" s="23">
        <v>0</v>
      </c>
      <c r="J196" s="147">
        <f t="shared" si="19"/>
        <v>0</v>
      </c>
      <c r="K196" s="148"/>
      <c r="L196" s="148"/>
    </row>
    <row r="197" spans="1:12" ht="15.75">
      <c r="A197" s="146" t="s">
        <v>91</v>
      </c>
      <c r="B197" s="146"/>
      <c r="C197" s="118">
        <v>0</v>
      </c>
      <c r="D197" s="112">
        <v>0</v>
      </c>
      <c r="E197" s="119">
        <f t="shared" si="20"/>
        <v>0</v>
      </c>
      <c r="F197" s="23">
        <v>0</v>
      </c>
      <c r="G197" s="278">
        <v>0</v>
      </c>
      <c r="H197" s="279"/>
      <c r="I197" s="23">
        <v>0</v>
      </c>
      <c r="J197" s="147">
        <f t="shared" si="19"/>
        <v>0</v>
      </c>
      <c r="K197" s="148"/>
      <c r="L197" s="148"/>
    </row>
    <row r="198" spans="1:12" ht="15.75">
      <c r="A198" s="146" t="s">
        <v>46</v>
      </c>
      <c r="B198" s="146"/>
      <c r="C198" s="118">
        <v>0</v>
      </c>
      <c r="D198" s="112">
        <v>0</v>
      </c>
      <c r="E198" s="119">
        <f t="shared" si="20"/>
        <v>0</v>
      </c>
      <c r="F198" s="23">
        <v>0</v>
      </c>
      <c r="G198" s="278">
        <v>0</v>
      </c>
      <c r="H198" s="279"/>
      <c r="I198" s="23">
        <v>0</v>
      </c>
      <c r="J198" s="147">
        <f t="shared" si="19"/>
        <v>0</v>
      </c>
      <c r="K198" s="148"/>
      <c r="L198" s="148"/>
    </row>
    <row r="199" spans="1:12" ht="15.75">
      <c r="A199" s="146" t="s">
        <v>110</v>
      </c>
      <c r="B199" s="146"/>
      <c r="C199" s="118">
        <v>0</v>
      </c>
      <c r="D199" s="112">
        <v>0</v>
      </c>
      <c r="E199" s="119">
        <f t="shared" si="20"/>
        <v>0</v>
      </c>
      <c r="F199" s="23">
        <v>0</v>
      </c>
      <c r="G199" s="278">
        <v>0</v>
      </c>
      <c r="H199" s="279"/>
      <c r="I199" s="23">
        <v>0</v>
      </c>
      <c r="J199" s="149">
        <f t="shared" si="19"/>
        <v>0</v>
      </c>
      <c r="K199" s="157"/>
      <c r="L199" s="157"/>
    </row>
    <row r="200" spans="1:12" ht="15.75">
      <c r="A200" s="146" t="s">
        <v>111</v>
      </c>
      <c r="B200" s="146"/>
      <c r="C200" s="118">
        <v>0</v>
      </c>
      <c r="D200" s="112">
        <v>0</v>
      </c>
      <c r="E200" s="119">
        <f t="shared" si="20"/>
        <v>0</v>
      </c>
      <c r="F200" s="23">
        <v>0</v>
      </c>
      <c r="G200" s="278">
        <v>0</v>
      </c>
      <c r="H200" s="279"/>
      <c r="I200" s="23">
        <v>0</v>
      </c>
      <c r="J200" s="149">
        <f t="shared" si="19"/>
        <v>0</v>
      </c>
      <c r="K200" s="157"/>
      <c r="L200" s="157"/>
    </row>
    <row r="201" spans="1:12" ht="15.75">
      <c r="A201" s="202" t="s">
        <v>55</v>
      </c>
      <c r="B201" s="146"/>
      <c r="C201" s="118">
        <f>SUM(C202:C205)</f>
        <v>0</v>
      </c>
      <c r="D201" s="112">
        <f>SUM(D202:D205)</f>
        <v>0</v>
      </c>
      <c r="E201" s="119">
        <f>SUM(E202:E205)</f>
        <v>0</v>
      </c>
      <c r="F201" s="23">
        <v>0</v>
      </c>
      <c r="G201" s="278">
        <f>SUM(G202:H205)</f>
        <v>0</v>
      </c>
      <c r="H201" s="279">
        <f>SUM(H203:H205)</f>
        <v>0</v>
      </c>
      <c r="I201" s="23">
        <v>0</v>
      </c>
      <c r="J201" s="147">
        <f>D201-G201</f>
        <v>0</v>
      </c>
      <c r="K201" s="148"/>
      <c r="L201" s="148"/>
    </row>
    <row r="202" spans="1:12" ht="15.75">
      <c r="A202" s="146" t="s">
        <v>129</v>
      </c>
      <c r="B202" s="146"/>
      <c r="C202" s="118">
        <v>0</v>
      </c>
      <c r="D202" s="112">
        <v>0</v>
      </c>
      <c r="E202" s="119">
        <f>G202-0</f>
        <v>0</v>
      </c>
      <c r="F202" s="23">
        <v>0</v>
      </c>
      <c r="G202" s="278">
        <v>0</v>
      </c>
      <c r="H202" s="279"/>
      <c r="I202" s="23">
        <v>0</v>
      </c>
      <c r="J202" s="147">
        <f>D202-G202</f>
        <v>0</v>
      </c>
      <c r="K202" s="148"/>
      <c r="L202" s="148"/>
    </row>
    <row r="203" spans="1:12" ht="15.75">
      <c r="A203" s="146" t="s">
        <v>130</v>
      </c>
      <c r="B203" s="146"/>
      <c r="C203" s="118">
        <v>0</v>
      </c>
      <c r="D203" s="112">
        <v>0</v>
      </c>
      <c r="E203" s="119">
        <f>G203-0</f>
        <v>0</v>
      </c>
      <c r="F203" s="23">
        <v>0</v>
      </c>
      <c r="G203" s="278">
        <v>0</v>
      </c>
      <c r="H203" s="279"/>
      <c r="I203" s="23">
        <v>0</v>
      </c>
      <c r="J203" s="147">
        <f>D203-G203</f>
        <v>0</v>
      </c>
      <c r="K203" s="148"/>
      <c r="L203" s="148"/>
    </row>
    <row r="204" spans="1:12" ht="15.75">
      <c r="A204" s="146" t="s">
        <v>131</v>
      </c>
      <c r="B204" s="146"/>
      <c r="C204" s="118">
        <v>0</v>
      </c>
      <c r="D204" s="112">
        <v>0</v>
      </c>
      <c r="E204" s="119">
        <f>G204-0</f>
        <v>0</v>
      </c>
      <c r="F204" s="23">
        <v>0</v>
      </c>
      <c r="G204" s="278">
        <v>0</v>
      </c>
      <c r="H204" s="279"/>
      <c r="I204" s="23">
        <v>0</v>
      </c>
      <c r="J204" s="147">
        <f>D204-G204</f>
        <v>0</v>
      </c>
      <c r="K204" s="148"/>
      <c r="L204" s="148"/>
    </row>
    <row r="205" spans="1:12" ht="15.75">
      <c r="A205" s="292" t="s">
        <v>132</v>
      </c>
      <c r="B205" s="292"/>
      <c r="C205" s="141">
        <v>0</v>
      </c>
      <c r="D205" s="137">
        <v>0</v>
      </c>
      <c r="E205" s="142">
        <f>G205-0</f>
        <v>0</v>
      </c>
      <c r="F205" s="32">
        <v>0</v>
      </c>
      <c r="G205" s="286">
        <v>0</v>
      </c>
      <c r="H205" s="287"/>
      <c r="I205" s="32">
        <v>0</v>
      </c>
      <c r="J205" s="290">
        <f>D205-G205</f>
        <v>0</v>
      </c>
      <c r="K205" s="291"/>
      <c r="L205" s="291"/>
    </row>
    <row r="206" spans="1:12" ht="15.75" customHeight="1">
      <c r="A206" s="61"/>
      <c r="B206" s="62"/>
      <c r="C206" s="62"/>
      <c r="D206" s="63"/>
      <c r="E206" s="91"/>
      <c r="F206" s="62"/>
      <c r="G206" s="91"/>
      <c r="H206" s="293"/>
      <c r="I206" s="293"/>
      <c r="J206" s="64"/>
      <c r="K206" s="293"/>
      <c r="L206" s="293"/>
    </row>
    <row r="207" spans="1:12" ht="15.75">
      <c r="A207" s="244" t="s">
        <v>18</v>
      </c>
      <c r="B207" s="92" t="s">
        <v>15</v>
      </c>
      <c r="C207" s="92" t="s">
        <v>15</v>
      </c>
      <c r="D207" s="247" t="s">
        <v>16</v>
      </c>
      <c r="E207" s="248"/>
      <c r="F207" s="93" t="s">
        <v>73</v>
      </c>
      <c r="G207" s="247" t="s">
        <v>17</v>
      </c>
      <c r="H207" s="248"/>
      <c r="I207" s="249"/>
      <c r="J207" s="94" t="s">
        <v>73</v>
      </c>
      <c r="K207" s="229" t="s">
        <v>78</v>
      </c>
      <c r="L207" s="230"/>
    </row>
    <row r="208" spans="1:12" ht="15.75">
      <c r="A208" s="245"/>
      <c r="B208" s="95" t="s">
        <v>5</v>
      </c>
      <c r="C208" s="95" t="s">
        <v>6</v>
      </c>
      <c r="D208" s="96" t="s">
        <v>79</v>
      </c>
      <c r="E208" s="96" t="s">
        <v>80</v>
      </c>
      <c r="F208" s="97"/>
      <c r="G208" s="96" t="s">
        <v>79</v>
      </c>
      <c r="H208" s="233" t="s">
        <v>80</v>
      </c>
      <c r="I208" s="234"/>
      <c r="J208" s="98"/>
      <c r="K208" s="231"/>
      <c r="L208" s="232"/>
    </row>
    <row r="209" spans="1:12" ht="15.75">
      <c r="A209" s="245"/>
      <c r="B209" s="95"/>
      <c r="C209" s="95"/>
      <c r="D209" s="97" t="s">
        <v>81</v>
      </c>
      <c r="E209" s="97" t="s">
        <v>81</v>
      </c>
      <c r="F209" s="97"/>
      <c r="G209" s="97" t="s">
        <v>81</v>
      </c>
      <c r="H209" s="235" t="s">
        <v>81</v>
      </c>
      <c r="I209" s="236"/>
      <c r="J209" s="98"/>
      <c r="K209" s="231"/>
      <c r="L209" s="232"/>
    </row>
    <row r="210" spans="1:12" ht="15.75">
      <c r="A210" s="246"/>
      <c r="B210" s="99" t="s">
        <v>19</v>
      </c>
      <c r="C210" s="99" t="s">
        <v>20</v>
      </c>
      <c r="D210" s="99"/>
      <c r="E210" s="99" t="s">
        <v>82</v>
      </c>
      <c r="F210" s="100" t="s">
        <v>83</v>
      </c>
      <c r="G210" s="99"/>
      <c r="H210" s="242" t="s">
        <v>21</v>
      </c>
      <c r="I210" s="243"/>
      <c r="J210" s="101" t="s">
        <v>84</v>
      </c>
      <c r="K210" s="242" t="s">
        <v>22</v>
      </c>
      <c r="L210" s="250"/>
    </row>
    <row r="211" spans="1:12" s="3" customFormat="1" ht="15.75">
      <c r="A211" s="46" t="s">
        <v>68</v>
      </c>
      <c r="B211" s="130">
        <f>B212+B216</f>
        <v>6040339444</v>
      </c>
      <c r="C211" s="130">
        <f>C212+C216</f>
        <v>6682984193.66</v>
      </c>
      <c r="D211" s="130">
        <f>D212+D216</f>
        <v>732826950.4499998</v>
      </c>
      <c r="E211" s="130">
        <f>E212+E216</f>
        <v>3802466711.6699996</v>
      </c>
      <c r="F211" s="130">
        <f>C211-E211</f>
        <v>2880517481.9900002</v>
      </c>
      <c r="G211" s="130">
        <f>G212+G216</f>
        <v>784181692.1599998</v>
      </c>
      <c r="H211" s="200">
        <f>H212+H216</f>
        <v>3629535645.85</v>
      </c>
      <c r="I211" s="201"/>
      <c r="J211" s="117">
        <f aca="true" t="shared" si="21" ref="J211:J217">C211-H211</f>
        <v>3053448547.81</v>
      </c>
      <c r="K211" s="200">
        <f>K212+K216</f>
        <v>3246195156.41</v>
      </c>
      <c r="L211" s="282"/>
    </row>
    <row r="212" spans="1:12" s="3" customFormat="1" ht="15.75">
      <c r="A212" s="46" t="s">
        <v>59</v>
      </c>
      <c r="B212" s="130">
        <f>SUM(B213:B215)</f>
        <v>6040098064</v>
      </c>
      <c r="C212" s="130">
        <f>SUM(C213:C215)</f>
        <v>6682742813.66</v>
      </c>
      <c r="D212" s="130">
        <f>SUM(D213:D215)</f>
        <v>732794945.9299998</v>
      </c>
      <c r="E212" s="130">
        <f>SUM(E213:E215)</f>
        <v>3802364539.3199997</v>
      </c>
      <c r="F212" s="130">
        <f aca="true" t="shared" si="22" ref="F212:F219">C212-E212</f>
        <v>2880378274.34</v>
      </c>
      <c r="G212" s="130">
        <f>SUM(G213:G215)</f>
        <v>784149687.6399999</v>
      </c>
      <c r="H212" s="200">
        <f>SUM(H213:I215)</f>
        <v>3629433473.5</v>
      </c>
      <c r="I212" s="201">
        <f>SUM(I213:I215)</f>
        <v>0</v>
      </c>
      <c r="J212" s="117">
        <f t="shared" si="21"/>
        <v>3053309340.16</v>
      </c>
      <c r="K212" s="200">
        <f>SUM(K213:L215)</f>
        <v>3246107185.73</v>
      </c>
      <c r="L212" s="282"/>
    </row>
    <row r="213" spans="1:12" s="3" customFormat="1" ht="15.75" customHeight="1">
      <c r="A213" s="47" t="s">
        <v>60</v>
      </c>
      <c r="B213" s="133">
        <v>4098276006</v>
      </c>
      <c r="C213" s="133">
        <v>4066764381.96</v>
      </c>
      <c r="D213" s="133">
        <f>E213-1918055899.75</f>
        <v>324864657.15999985</v>
      </c>
      <c r="E213" s="133">
        <v>2242920556.91</v>
      </c>
      <c r="F213" s="133">
        <f t="shared" si="22"/>
        <v>1823843825.0500002</v>
      </c>
      <c r="G213" s="133">
        <f>H213-1710999210.18</f>
        <v>432757000.0999999</v>
      </c>
      <c r="H213" s="149">
        <v>2143756210.28</v>
      </c>
      <c r="I213" s="150"/>
      <c r="J213" s="112">
        <f t="shared" si="21"/>
        <v>1923008171.68</v>
      </c>
      <c r="K213" s="149">
        <v>1931321520.6</v>
      </c>
      <c r="L213" s="157"/>
    </row>
    <row r="214" spans="1:12" s="3" customFormat="1" ht="15.75" customHeight="1">
      <c r="A214" s="105" t="s">
        <v>144</v>
      </c>
      <c r="B214" s="133">
        <v>0</v>
      </c>
      <c r="C214" s="133">
        <v>0</v>
      </c>
      <c r="D214" s="133">
        <v>0</v>
      </c>
      <c r="E214" s="133">
        <v>0</v>
      </c>
      <c r="F214" s="133">
        <f t="shared" si="22"/>
        <v>0</v>
      </c>
      <c r="G214" s="133">
        <f>H214-0</f>
        <v>0</v>
      </c>
      <c r="H214" s="149">
        <v>0</v>
      </c>
      <c r="I214" s="150"/>
      <c r="J214" s="112">
        <f t="shared" si="21"/>
        <v>0</v>
      </c>
      <c r="K214" s="149">
        <v>0</v>
      </c>
      <c r="L214" s="157"/>
    </row>
    <row r="215" spans="1:12" s="3" customFormat="1" ht="15.75" customHeight="1">
      <c r="A215" s="47" t="s">
        <v>62</v>
      </c>
      <c r="B215" s="133">
        <v>1941822058</v>
      </c>
      <c r="C215" s="133">
        <v>2615978431.7</v>
      </c>
      <c r="D215" s="133">
        <f>E215-1151513693.64</f>
        <v>407930288.77</v>
      </c>
      <c r="E215" s="133">
        <v>1559443982.41</v>
      </c>
      <c r="F215" s="133">
        <f t="shared" si="22"/>
        <v>1056534449.2899997</v>
      </c>
      <c r="G215" s="133">
        <f>H215-1134284575.68</f>
        <v>351392687.53999996</v>
      </c>
      <c r="H215" s="149">
        <v>1485677263.22</v>
      </c>
      <c r="I215" s="150"/>
      <c r="J215" s="112">
        <f t="shared" si="21"/>
        <v>1130301168.4799998</v>
      </c>
      <c r="K215" s="149">
        <v>1314785665.13</v>
      </c>
      <c r="L215" s="157"/>
    </row>
    <row r="216" spans="1:12" s="3" customFormat="1" ht="15.75" customHeight="1">
      <c r="A216" s="46" t="s">
        <v>63</v>
      </c>
      <c r="B216" s="130">
        <f>B217+B218+B219</f>
        <v>241380</v>
      </c>
      <c r="C216" s="130">
        <f>C217+C218+C219</f>
        <v>241380</v>
      </c>
      <c r="D216" s="130">
        <f>D217+D218+D219</f>
        <v>32004.520000000004</v>
      </c>
      <c r="E216" s="130">
        <f>E217+E218+E219</f>
        <v>102172.35</v>
      </c>
      <c r="F216" s="130">
        <f t="shared" si="22"/>
        <v>139207.65</v>
      </c>
      <c r="G216" s="130">
        <f>G217+G218+G219</f>
        <v>32004.520000000004</v>
      </c>
      <c r="H216" s="200">
        <f>H217+H218+H219</f>
        <v>102172.35</v>
      </c>
      <c r="I216" s="201">
        <f>I217+H218+I219</f>
        <v>0</v>
      </c>
      <c r="J216" s="117">
        <f t="shared" si="21"/>
        <v>139207.65</v>
      </c>
      <c r="K216" s="200">
        <f>K217+K218+K219</f>
        <v>87970.68</v>
      </c>
      <c r="L216" s="282"/>
    </row>
    <row r="217" spans="1:12" s="3" customFormat="1" ht="15.75" customHeight="1">
      <c r="A217" s="47" t="s">
        <v>64</v>
      </c>
      <c r="B217" s="133">
        <v>0</v>
      </c>
      <c r="C217" s="133">
        <v>0</v>
      </c>
      <c r="D217" s="133">
        <f>E217-0</f>
        <v>0</v>
      </c>
      <c r="E217" s="133">
        <v>0</v>
      </c>
      <c r="F217" s="133">
        <f t="shared" si="22"/>
        <v>0</v>
      </c>
      <c r="G217" s="112">
        <f>H217-0</f>
        <v>0</v>
      </c>
      <c r="H217" s="157">
        <v>0</v>
      </c>
      <c r="I217" s="150"/>
      <c r="J217" s="112">
        <f t="shared" si="21"/>
        <v>0</v>
      </c>
      <c r="K217" s="157">
        <v>0</v>
      </c>
      <c r="L217" s="157"/>
    </row>
    <row r="218" spans="1:12" s="3" customFormat="1" ht="15.75" customHeight="1">
      <c r="A218" s="47" t="s">
        <v>65</v>
      </c>
      <c r="B218" s="133">
        <v>0</v>
      </c>
      <c r="C218" s="133">
        <v>0</v>
      </c>
      <c r="D218" s="133">
        <f>E218-0</f>
        <v>0</v>
      </c>
      <c r="E218" s="133">
        <v>0</v>
      </c>
      <c r="F218" s="133">
        <f t="shared" si="22"/>
        <v>0</v>
      </c>
      <c r="G218" s="112">
        <f>H218-0</f>
        <v>0</v>
      </c>
      <c r="H218" s="149">
        <v>0</v>
      </c>
      <c r="I218" s="150"/>
      <c r="J218" s="112">
        <v>0</v>
      </c>
      <c r="K218" s="149">
        <v>0</v>
      </c>
      <c r="L218" s="157"/>
    </row>
    <row r="219" spans="1:12" s="3" customFormat="1" ht="15.75" customHeight="1">
      <c r="A219" s="74" t="s">
        <v>66</v>
      </c>
      <c r="B219" s="134">
        <v>241380</v>
      </c>
      <c r="C219" s="134">
        <v>241380</v>
      </c>
      <c r="D219" s="134">
        <f>E219-70167.83</f>
        <v>32004.520000000004</v>
      </c>
      <c r="E219" s="134">
        <v>102172.35</v>
      </c>
      <c r="F219" s="134">
        <f t="shared" si="22"/>
        <v>139207.65</v>
      </c>
      <c r="G219" s="134">
        <f>H219-70167.83</f>
        <v>32004.520000000004</v>
      </c>
      <c r="H219" s="283">
        <v>102172.35</v>
      </c>
      <c r="I219" s="284"/>
      <c r="J219" s="137">
        <f>C219-H219</f>
        <v>139207.65</v>
      </c>
      <c r="K219" s="283">
        <v>87970.68</v>
      </c>
      <c r="L219" s="285"/>
    </row>
    <row r="220" spans="1:12" s="3" customFormat="1" ht="15.75">
      <c r="A220" s="102" t="s">
        <v>139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6" t="s">
        <v>101</v>
      </c>
    </row>
    <row r="221" spans="1:12" s="3" customFormat="1" ht="15.75" customHeight="1">
      <c r="A221" s="82" t="s">
        <v>143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106"/>
    </row>
    <row r="222" spans="1:12" s="3" customFormat="1" ht="15.75" customHeight="1">
      <c r="A222" s="109" t="s">
        <v>145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1"/>
    </row>
    <row r="223" spans="1:17" s="3" customFormat="1" ht="15.75" customHeight="1">
      <c r="A223" s="294" t="s">
        <v>146</v>
      </c>
      <c r="B223" s="294"/>
      <c r="C223" s="294"/>
      <c r="D223" s="294"/>
      <c r="E223" s="294"/>
      <c r="F223" s="294"/>
      <c r="G223" s="294"/>
      <c r="H223" s="294"/>
      <c r="I223" s="294"/>
      <c r="J223" s="294"/>
      <c r="K223" s="294"/>
      <c r="L223" s="294"/>
      <c r="M223" s="7"/>
      <c r="N223" s="296"/>
      <c r="O223" s="296"/>
      <c r="P223" s="296"/>
      <c r="Q223" s="296"/>
    </row>
    <row r="224" spans="1:12" s="3" customFormat="1" ht="15.75">
      <c r="A224" s="159" t="s">
        <v>93</v>
      </c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</row>
    <row r="225" spans="1:12" s="3" customFormat="1" ht="15.75" customHeight="1">
      <c r="A225" s="82"/>
      <c r="B225" s="82"/>
      <c r="C225" s="103"/>
      <c r="D225" s="82"/>
      <c r="E225" s="104"/>
      <c r="F225" s="82"/>
      <c r="G225" s="104"/>
      <c r="H225" s="82"/>
      <c r="I225" s="82"/>
      <c r="J225" s="82"/>
      <c r="K225" s="82"/>
      <c r="L225" s="82"/>
    </row>
    <row r="226" spans="1:12" s="3" customFormat="1" ht="15.75" customHeight="1">
      <c r="A226" s="77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</row>
    <row r="227" spans="1:13" s="3" customFormat="1" ht="15.75" customHeight="1">
      <c r="A227" s="79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</row>
    <row r="228" spans="1:13" s="3" customFormat="1" ht="15.75" customHeight="1">
      <c r="A228" s="81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</row>
    <row r="229" spans="1:12" s="3" customFormat="1" ht="15.75" customHeight="1">
      <c r="A229" s="81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</row>
    <row r="230" spans="1:12" s="3" customFormat="1" ht="15.7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</row>
    <row r="231" spans="1:12" s="3" customFormat="1" ht="15.7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</row>
    <row r="232" spans="1:12" s="3" customFormat="1" ht="15.75" customHeight="1">
      <c r="A232" s="145" t="s">
        <v>102</v>
      </c>
      <c r="B232" s="145"/>
      <c r="C232" s="145" t="s">
        <v>96</v>
      </c>
      <c r="D232" s="145"/>
      <c r="E232" s="145"/>
      <c r="F232" s="145"/>
      <c r="G232" s="158" t="s">
        <v>136</v>
      </c>
      <c r="H232" s="158"/>
      <c r="I232" s="158"/>
      <c r="J232" s="158"/>
      <c r="K232" s="158"/>
      <c r="L232" s="77"/>
    </row>
    <row r="233" spans="1:12" s="3" customFormat="1" ht="15.75" customHeight="1">
      <c r="A233" s="145" t="s">
        <v>95</v>
      </c>
      <c r="B233" s="145"/>
      <c r="C233" s="145" t="s">
        <v>97</v>
      </c>
      <c r="D233" s="145"/>
      <c r="E233" s="145"/>
      <c r="F233" s="145"/>
      <c r="G233" s="158" t="s">
        <v>137</v>
      </c>
      <c r="H233" s="158"/>
      <c r="I233" s="158"/>
      <c r="J233" s="158"/>
      <c r="K233" s="158"/>
      <c r="L233" s="77"/>
    </row>
    <row r="234" spans="1:12" s="3" customFormat="1" ht="15.75" customHeight="1">
      <c r="A234" s="145" t="s">
        <v>94</v>
      </c>
      <c r="B234" s="145"/>
      <c r="C234" s="145" t="s">
        <v>98</v>
      </c>
      <c r="D234" s="145"/>
      <c r="E234" s="145"/>
      <c r="F234" s="145"/>
      <c r="G234" s="158" t="s">
        <v>138</v>
      </c>
      <c r="H234" s="158"/>
      <c r="I234" s="158"/>
      <c r="J234" s="158"/>
      <c r="K234" s="158"/>
      <c r="L234" s="77"/>
    </row>
    <row r="235" spans="1:12" ht="15.75" customHeight="1">
      <c r="A235" s="82"/>
      <c r="B235" s="82"/>
      <c r="C235" s="82"/>
      <c r="D235" s="82"/>
      <c r="E235" s="82"/>
      <c r="F235" s="82"/>
      <c r="G235" s="83"/>
      <c r="H235" s="83"/>
      <c r="I235" s="83"/>
      <c r="J235" s="83"/>
      <c r="K235" s="83"/>
      <c r="L235" s="82"/>
    </row>
    <row r="236" spans="1:12" ht="11.25" customHeight="1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</row>
    <row r="237" spans="1:12" ht="11.25" customHeight="1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</row>
    <row r="238" spans="1:12" ht="11.2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</row>
    <row r="239" spans="1:12" ht="11.2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</row>
    <row r="240" spans="1:12" ht="11.2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</row>
    <row r="241" spans="1:12" ht="11.2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</row>
    <row r="242" spans="1:12" ht="11.2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</row>
    <row r="243" spans="1:12" ht="11.2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</row>
    <row r="244" spans="1:12" ht="11.2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</row>
    <row r="245" spans="1:12" ht="11.2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</row>
    <row r="246" spans="1:12" ht="11.2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</row>
  </sheetData>
  <sheetProtection/>
  <mergeCells count="554">
    <mergeCell ref="N223:Q223"/>
    <mergeCell ref="H206:I206"/>
    <mergeCell ref="K206:L206"/>
    <mergeCell ref="J180:L180"/>
    <mergeCell ref="G181:H181"/>
    <mergeCell ref="J181:L181"/>
    <mergeCell ref="K207:L209"/>
    <mergeCell ref="H208:I208"/>
    <mergeCell ref="H209:I209"/>
    <mergeCell ref="A223:L223"/>
    <mergeCell ref="J166:L166"/>
    <mergeCell ref="J167:L167"/>
    <mergeCell ref="J168:L168"/>
    <mergeCell ref="G168:H168"/>
    <mergeCell ref="G180:H180"/>
    <mergeCell ref="A205:B205"/>
    <mergeCell ref="A182:B182"/>
    <mergeCell ref="J190:L190"/>
    <mergeCell ref="A196:B196"/>
    <mergeCell ref="A197:B197"/>
    <mergeCell ref="A198:B198"/>
    <mergeCell ref="A202:B202"/>
    <mergeCell ref="G202:H202"/>
    <mergeCell ref="J204:L204"/>
    <mergeCell ref="J205:L205"/>
    <mergeCell ref="G177:H177"/>
    <mergeCell ref="J177:L177"/>
    <mergeCell ref="A190:B190"/>
    <mergeCell ref="G201:H201"/>
    <mergeCell ref="G196:H196"/>
    <mergeCell ref="A192:B192"/>
    <mergeCell ref="A179:B179"/>
    <mergeCell ref="A180:B180"/>
    <mergeCell ref="A181:B181"/>
    <mergeCell ref="G179:H179"/>
    <mergeCell ref="G167:H167"/>
    <mergeCell ref="G192:H192"/>
    <mergeCell ref="A188:B188"/>
    <mergeCell ref="A191:B191"/>
    <mergeCell ref="G183:H183"/>
    <mergeCell ref="D207:E207"/>
    <mergeCell ref="G207:I207"/>
    <mergeCell ref="A200:B200"/>
    <mergeCell ref="G204:H204"/>
    <mergeCell ref="G198:H198"/>
    <mergeCell ref="A201:B201"/>
    <mergeCell ref="G205:H205"/>
    <mergeCell ref="G200:H200"/>
    <mergeCell ref="G203:H203"/>
    <mergeCell ref="A207:A210"/>
    <mergeCell ref="A131:L131"/>
    <mergeCell ref="A132:L132"/>
    <mergeCell ref="A166:B166"/>
    <mergeCell ref="G151:H151"/>
    <mergeCell ref="A165:B165"/>
    <mergeCell ref="A171:B171"/>
    <mergeCell ref="G165:H165"/>
    <mergeCell ref="J165:L165"/>
    <mergeCell ref="A160:B160"/>
    <mergeCell ref="G160:H160"/>
    <mergeCell ref="H217:I217"/>
    <mergeCell ref="K217:L217"/>
    <mergeCell ref="H218:I218"/>
    <mergeCell ref="K218:L218"/>
    <mergeCell ref="H219:I219"/>
    <mergeCell ref="K219:L219"/>
    <mergeCell ref="H213:I213"/>
    <mergeCell ref="K213:L213"/>
    <mergeCell ref="H215:I215"/>
    <mergeCell ref="K215:L215"/>
    <mergeCell ref="H216:I216"/>
    <mergeCell ref="K216:L216"/>
    <mergeCell ref="H211:I211"/>
    <mergeCell ref="K211:L211"/>
    <mergeCell ref="H212:I212"/>
    <mergeCell ref="K212:L212"/>
    <mergeCell ref="H210:I210"/>
    <mergeCell ref="K210:L210"/>
    <mergeCell ref="J203:L203"/>
    <mergeCell ref="A203:B203"/>
    <mergeCell ref="J202:L202"/>
    <mergeCell ref="A204:B204"/>
    <mergeCell ref="J198:L198"/>
    <mergeCell ref="G199:H199"/>
    <mergeCell ref="J199:L199"/>
    <mergeCell ref="J201:L201"/>
    <mergeCell ref="A199:B199"/>
    <mergeCell ref="J200:L200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A195:B195"/>
    <mergeCell ref="A183:B183"/>
    <mergeCell ref="J192:L192"/>
    <mergeCell ref="G193:H193"/>
    <mergeCell ref="J193:L193"/>
    <mergeCell ref="G191:H191"/>
    <mergeCell ref="J191:L191"/>
    <mergeCell ref="G187:H187"/>
    <mergeCell ref="J187:L187"/>
    <mergeCell ref="G188:H188"/>
    <mergeCell ref="G190:H190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J184:L184"/>
    <mergeCell ref="J183:L183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65:L65"/>
    <mergeCell ref="J64:L64"/>
    <mergeCell ref="J62:L62"/>
    <mergeCell ref="J60:L60"/>
    <mergeCell ref="A164:B164"/>
    <mergeCell ref="G164:H164"/>
    <mergeCell ref="J164:L164"/>
    <mergeCell ref="A147:B147"/>
    <mergeCell ref="G147:H147"/>
    <mergeCell ref="J147:L147"/>
    <mergeCell ref="J160:L160"/>
    <mergeCell ref="A161:B161"/>
    <mergeCell ref="G161:H161"/>
    <mergeCell ref="J162:L162"/>
    <mergeCell ref="A162:B162"/>
    <mergeCell ref="J161:L161"/>
    <mergeCell ref="A158:B158"/>
    <mergeCell ref="G158:H158"/>
    <mergeCell ref="J158:L158"/>
    <mergeCell ref="A159:B159"/>
    <mergeCell ref="G159:H159"/>
    <mergeCell ref="J159:L159"/>
    <mergeCell ref="A156:B156"/>
    <mergeCell ref="G156:H156"/>
    <mergeCell ref="J156:L156"/>
    <mergeCell ref="A157:B157"/>
    <mergeCell ref="G157:H157"/>
    <mergeCell ref="J157:L157"/>
    <mergeCell ref="A154:B154"/>
    <mergeCell ref="G154:H154"/>
    <mergeCell ref="J154:L154"/>
    <mergeCell ref="A155:B155"/>
    <mergeCell ref="G155:H155"/>
    <mergeCell ref="J155:L155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48:B148"/>
    <mergeCell ref="G148:H148"/>
    <mergeCell ref="J148:L148"/>
    <mergeCell ref="A149:B149"/>
    <mergeCell ref="G149:H149"/>
    <mergeCell ref="J149:L149"/>
    <mergeCell ref="A145:B145"/>
    <mergeCell ref="G145:H145"/>
    <mergeCell ref="J145:L145"/>
    <mergeCell ref="A146:B146"/>
    <mergeCell ref="G146:H146"/>
    <mergeCell ref="J146:L146"/>
    <mergeCell ref="A143:B143"/>
    <mergeCell ref="G143:H143"/>
    <mergeCell ref="J143:L143"/>
    <mergeCell ref="A144:B144"/>
    <mergeCell ref="G144:H144"/>
    <mergeCell ref="J144:L14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K100:L100"/>
    <mergeCell ref="H101:I101"/>
    <mergeCell ref="K101:L101"/>
    <mergeCell ref="H102:I102"/>
    <mergeCell ref="K102:L102"/>
    <mergeCell ref="K103:L103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97:L99"/>
    <mergeCell ref="H98:I98"/>
    <mergeCell ref="H99:I99"/>
    <mergeCell ref="J94:L94"/>
    <mergeCell ref="G94:H94"/>
    <mergeCell ref="J95:L95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G88:H88"/>
    <mergeCell ref="J88:L88"/>
    <mergeCell ref="A86:B86"/>
    <mergeCell ref="G86:H86"/>
    <mergeCell ref="J86:L86"/>
    <mergeCell ref="A80:B80"/>
    <mergeCell ref="J81:L81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8:B88"/>
    <mergeCell ref="J78:L78"/>
    <mergeCell ref="G80:H80"/>
    <mergeCell ref="J84:L84"/>
    <mergeCell ref="A79:B79"/>
    <mergeCell ref="A81:B81"/>
    <mergeCell ref="G81:H81"/>
    <mergeCell ref="A84:B84"/>
    <mergeCell ref="G84:H84"/>
    <mergeCell ref="J80:L80"/>
    <mergeCell ref="G75:H75"/>
    <mergeCell ref="G74:H74"/>
    <mergeCell ref="J76:L76"/>
    <mergeCell ref="A85:B85"/>
    <mergeCell ref="G85:H85"/>
    <mergeCell ref="J79:L79"/>
    <mergeCell ref="J85:L85"/>
    <mergeCell ref="A83:B83"/>
    <mergeCell ref="G83:H83"/>
    <mergeCell ref="J83:L83"/>
    <mergeCell ref="G76:H76"/>
    <mergeCell ref="A78:B78"/>
    <mergeCell ref="A67:B67"/>
    <mergeCell ref="J67:L67"/>
    <mergeCell ref="A69:B69"/>
    <mergeCell ref="J69:L69"/>
    <mergeCell ref="A70:B70"/>
    <mergeCell ref="J68:L68"/>
    <mergeCell ref="A76:B76"/>
    <mergeCell ref="G71:H71"/>
    <mergeCell ref="G67:H67"/>
    <mergeCell ref="J70:L70"/>
    <mergeCell ref="G73:H73"/>
    <mergeCell ref="J71:L71"/>
    <mergeCell ref="J72:L72"/>
    <mergeCell ref="G72:H72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A60:B60"/>
    <mergeCell ref="J58:L58"/>
    <mergeCell ref="G60:H60"/>
    <mergeCell ref="G58:H58"/>
    <mergeCell ref="G59:H59"/>
    <mergeCell ref="A58:B58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54:B54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A48:B48"/>
    <mergeCell ref="G47:H47"/>
    <mergeCell ref="G48:H48"/>
    <mergeCell ref="J48:L48"/>
    <mergeCell ref="A47:B47"/>
    <mergeCell ref="J47:L47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J19:L19"/>
    <mergeCell ref="A17:B17"/>
    <mergeCell ref="G17:H17"/>
    <mergeCell ref="A20:B20"/>
    <mergeCell ref="G20:H20"/>
    <mergeCell ref="J20:L20"/>
    <mergeCell ref="J17:L17"/>
    <mergeCell ref="J18:L18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A234:B234"/>
    <mergeCell ref="H214:I214"/>
    <mergeCell ref="K214:L214"/>
    <mergeCell ref="G232:K232"/>
    <mergeCell ref="G233:K233"/>
    <mergeCell ref="G234:K234"/>
    <mergeCell ref="C232:F232"/>
    <mergeCell ref="C233:F233"/>
    <mergeCell ref="C234:F234"/>
    <mergeCell ref="A224:L224"/>
    <mergeCell ref="G65:H65"/>
    <mergeCell ref="G68:H68"/>
    <mergeCell ref="G69:H69"/>
    <mergeCell ref="G66:H66"/>
    <mergeCell ref="A68:B68"/>
    <mergeCell ref="N92:Q96"/>
    <mergeCell ref="J73:L73"/>
    <mergeCell ref="G70:H70"/>
    <mergeCell ref="A66:B66"/>
    <mergeCell ref="J66:L66"/>
    <mergeCell ref="A232:B232"/>
    <mergeCell ref="A233:B233"/>
    <mergeCell ref="A77:B77"/>
    <mergeCell ref="J77:L77"/>
    <mergeCell ref="G77:H77"/>
    <mergeCell ref="J82:L82"/>
    <mergeCell ref="A82:B82"/>
    <mergeCell ref="G78:H78"/>
    <mergeCell ref="G82:H82"/>
    <mergeCell ref="G79:H79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6" max="11" man="1"/>
  </rowBreaks>
  <ignoredErrors>
    <ignoredError sqref="F114:F116 J114:J116 J101 F119:G119 J119 F101:F103 F215:F216 F211:F213 E28 E23 E192 E187 E178 E153 E148 E38 E201 D119 D216:E216 G216 E44 E53 E58 E163 E169 E67 E82 F91 H90 H92 G91:H91 E62 J91 E71 E166" formula="1"/>
    <ignoredError sqref="B102:C102 C117 K102:L102 B108:E108 K108 L114 H102 K122:L122 I122 L115 B120:C120 B121:C121 L116 L119 D102:E102 C76:D76 C153:D153 C28:D28 C201:D201" formulaRange="1"/>
    <ignoredError sqref="F108:G108 G102 F104:F107 F109:F111 J102 I114 J107:J110 F112 J112 E76 F142:F143 F17:F21 F44:F45 F81:F82 F74 F67:F68 F61:F64 F90 F183 F58:F59 F92" formula="1" formulaRange="1"/>
    <ignoredError sqref="I142 I17:I19 F35:F43 F66 F148:F149 F163:F164 I143 I82 I20 I90:I92 F153:F154 F168:F169 F166 F171 F182 F180 F178 F191 I182 I178 I171 I168:I169 I166 I153:I154 I148:I149 I163:I164 I180 I183 F23:F24 F47:F49 F60 F76 I21 I191 F28:F32 F51 F53:F57 F80 I23:I24 I28:I32 I35:I45 I47:I49 I51 I53:I64 I66:I68 I74 I76 I80:I81" evalError="1"/>
    <ignoredError sqref="F142:F143 F17:F21 F44:F45 F81:F82 F74 F67:F68 F61:F64 F90 F183 F58:F59 F92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2020-09-16T19:02:29Z</cp:lastPrinted>
  <dcterms:created xsi:type="dcterms:W3CDTF">2005-03-07T15:54:32Z</dcterms:created>
  <dcterms:modified xsi:type="dcterms:W3CDTF">2020-11-27T19:40:48Z</dcterms:modified>
  <cp:category/>
  <cp:version/>
  <cp:contentType/>
  <cp:contentStatus/>
</cp:coreProperties>
</file>