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45" windowWidth="10920" windowHeight="8595" activeTab="0"/>
  </bookViews>
  <sheets>
    <sheet name="Anexo 1 - Balanço Orçamentário" sheetId="1" r:id="rId1"/>
  </sheets>
  <externalReferences>
    <externalReference r:id="rId4"/>
  </externalReferences>
  <definedNames>
    <definedName name="_xlnm.Print_Area" localSheetId="0">'Anexo 1 - Balanço Orçamentário'!$A$1:$L$234</definedName>
    <definedName name="Cancela">#REF!,#REF!</definedName>
    <definedName name="fdsafs">#REF!,#REF!</definedName>
    <definedName name="fdsf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xxx">#REF!,#REF!</definedName>
  </definedNames>
  <calcPr fullCalcOnLoad="1"/>
</workbook>
</file>

<file path=xl/sharedStrings.xml><?xml version="1.0" encoding="utf-8"?>
<sst xmlns="http://schemas.openxmlformats.org/spreadsheetml/2006/main" count="284" uniqueCount="150">
  <si>
    <t>RELATÓRIO RESUMIDO DA EXECUÇÃO ORÇAMENTÁRIA</t>
  </si>
  <si>
    <t>BALANÇO ORÇAMENTÁRIO</t>
  </si>
  <si>
    <t>ORÇAMENTOS FISCAL E DA SEGURIDADE SOCIAL</t>
  </si>
  <si>
    <t>RECEITAS REALIZADAS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</si>
  <si>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</si>
  <si>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</si>
  <si>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</si>
  <si>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</si>
  <si>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</si>
  <si>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</si>
  <si>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</si>
  <si>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</si>
  <si>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</si>
  <si>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>(c/a)</t>
  </si>
  <si>
    <t>(a-c)</t>
  </si>
  <si>
    <t>DOTAÇÃO</t>
  </si>
  <si>
    <t>DESPESAS EMPENHADAS</t>
  </si>
  <si>
    <t>DESPESAS LIQUIDADAS</t>
  </si>
  <si>
    <t>DESPESAS</t>
  </si>
  <si>
    <t>(d)</t>
  </si>
  <si>
    <t>(e)</t>
  </si>
  <si>
    <t>(h)</t>
  </si>
  <si>
    <t>(j)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</si>
  <si>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</si>
  <si>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</si>
  <si>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</si>
  <si>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</si>
  <si>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GOVERNO DO ESTADO DO RIO DE JANEIRO</t>
  </si>
  <si>
    <t>SUBTOTAL DAS RECEITAS (III) = (I + II)</t>
  </si>
  <si>
    <t>SUBTOTAL COM REFINANCIAMENTO (V) = (III + IV)</t>
  </si>
  <si>
    <t>DÉFICIT (VI)</t>
  </si>
  <si>
    <t>TOTAL (VII) = (V + VI)</t>
  </si>
  <si>
    <t>SUBTOTAL DAS DESPESAS (X) = (VIII + IX)</t>
  </si>
  <si>
    <t>TOTAL (XIV) = (XII + XIII)</t>
  </si>
  <si>
    <t>Continuação</t>
  </si>
  <si>
    <t xml:space="preserve">    RECEITAS CORRENTES</t>
  </si>
  <si>
    <t xml:space="preserve">            Impostos</t>
  </si>
  <si>
    <t xml:space="preserve">            Taxas</t>
  </si>
  <si>
    <t xml:space="preserve">        RECEITA DE CONTRIBUIÇÕES</t>
  </si>
  <si>
    <t xml:space="preserve">            Contribuições Sociais</t>
  </si>
  <si>
    <t xml:space="preserve">        RECEITA PATRIMONIAL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</si>
  <si>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</si>
  <si>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</si>
  <si>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</si>
  <si>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TRANSFERÊNCIAS CORRENTES</t>
  </si>
  <si>
    <t xml:space="preserve">            Transferências de Instituições Privadas</t>
  </si>
  <si>
    <t xml:space="preserve">            Transferências do Exterior</t>
  </si>
  <si>
    <t xml:space="preserve">        OUTRAS RECEITAS CORRENTES</t>
  </si>
  <si>
    <t xml:space="preserve">    RECEITAS DE CAPITAL</t>
  </si>
  <si>
    <t xml:space="preserve">        OPERAÇÕES DE CRÉDITO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</si>
  <si>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</si>
  <si>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</si>
  <si>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</si>
  <si>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</si>
  <si>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</si>
  <si>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OUTRAS RECEITAS DE CAPITAL</t>
  </si>
  <si>
    <t>RECEITAS (INTRA-ORÇAMENTÁRIAS) (II)</t>
  </si>
  <si>
    <t xml:space="preserve">        Mobiliária</t>
  </si>
  <si>
    <t xml:space="preserve">        Contratual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</si>
  <si>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</si>
  <si>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</si>
  <si>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</si>
  <si>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</si>
  <si>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</si>
  <si>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</si>
  <si>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</si>
  <si>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</si>
  <si>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</si>
  <si>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>DESPESAS (INTRA-ORÇAMENTÁRIAS) (IX)</t>
  </si>
  <si>
    <t>SUBTOTAL C/ REFINANCIAMENTO (XII) = (X + XI)</t>
  </si>
  <si>
    <t>SUPERÁVIT (XIII)</t>
  </si>
  <si>
    <t>RREO - Anexo 1 (LRF, Art. 52, inciso I, alíneas "a" e "b" do inciso II e §1º)</t>
  </si>
  <si>
    <t>PREVISÃO INICIAL</t>
  </si>
  <si>
    <t>SALDO</t>
  </si>
  <si>
    <t>( c )</t>
  </si>
  <si>
    <t>RECEITAS (EXCETO INTRA-ORÇAMENTÁRIAS) (I)</t>
  </si>
  <si>
    <t>OPERAÇÕES DE CRÉDITO / REFINANCIAMENTO  (IV)</t>
  </si>
  <si>
    <t>SALDOS DE EXERCÍCIOS ANTERIORES (UTILIZADOS PARA CRÉDITOS ADICIONAIS)</t>
  </si>
  <si>
    <t>DESPESAS PAGAS ATÉ O BIMESTRE</t>
  </si>
  <si>
    <t xml:space="preserve">No </t>
  </si>
  <si>
    <t xml:space="preserve">Até o </t>
  </si>
  <si>
    <t>Bimestre</t>
  </si>
  <si>
    <t>(f)</t>
  </si>
  <si>
    <t xml:space="preserve">(g) = (e-f) </t>
  </si>
  <si>
    <t>(i) = (e-h)</t>
  </si>
  <si>
    <t>DESPESAS (EXCETO INTRA-ORÇAMENTÁRIAS) (VIII)</t>
  </si>
  <si>
    <t>AMORTIZAÇÃO DA DÍV. / REFINANCIAMENTO (XI)</t>
  </si>
  <si>
    <t>PREVISÃO</t>
  </si>
  <si>
    <t xml:space="preserve">           Transferências a Municípios</t>
  </si>
  <si>
    <t xml:space="preserve">           Demais Despesas Correntes</t>
  </si>
  <si>
    <t>RESERVA DO RPPS</t>
  </si>
  <si>
    <t xml:space="preserve">            Transferências de Outras Instituições Públicas</t>
  </si>
  <si>
    <t xml:space="preserve">    Recursos Arrecadados em Exercícios Anteriores - RPPS</t>
  </si>
  <si>
    <t xml:space="preserve">          4 - Os valores das receitas já estão considerando as suas respectivas deduções, ou seja, a Dedução para Formação do FUNDEB, as Transferências Constitucionais aos Municípios e Outras Deduções, tais como, Restituições, Descontos, Retificações e Outras.</t>
  </si>
  <si>
    <t xml:space="preserve">          5 - Este Demonstrativo não considera a casa dos centavos.</t>
  </si>
  <si>
    <t xml:space="preserve">                                         Contador - CRC-RJ-097281/O-6</t>
  </si>
  <si>
    <t xml:space="preserve">                                          Coordenador - ID: 4.284.985-3</t>
  </si>
  <si>
    <t xml:space="preserve">        Ronald Marcio G. Rodrigues</t>
  </si>
  <si>
    <t xml:space="preserve">        Superintendente - ID: 1.943.584-3</t>
  </si>
  <si>
    <t xml:space="preserve">         Contador - CRC-RJ-079208/O-8</t>
  </si>
  <si>
    <t xml:space="preserve">            Contribuições Econômicas</t>
  </si>
  <si>
    <t>Continua (1/2)</t>
  </si>
  <si>
    <t>(2/2)</t>
  </si>
  <si>
    <t xml:space="preserve">                                           Renato Ferreira Costa</t>
  </si>
  <si>
    <t xml:space="preserve">            Multas Administrativas, Contratuais e Judiciais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</si>
  <si>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</si>
  <si>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</si>
  <si>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Demais Receitas Correntes</t>
  </si>
  <si>
    <t xml:space="preserve">            Transferências da União e de suas Entidades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</si>
  <si>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</si>
  <si>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</si>
  <si>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Transferências de Pessoas Físicas</t>
  </si>
  <si>
    <t xml:space="preserve">            Transferências Provenientes de Depósitos Não Identificados</t>
  </si>
  <si>
    <t xml:space="preserve">            Serviços Administrativos e Comerciais Gerais</t>
  </si>
  <si>
    <t xml:space="preserve">            Serviços e Atividades Referentes à Navegação e ao Transporte</t>
  </si>
  <si>
    <t xml:space="preserve">            Serviços e Atividades referentes à Saúde</t>
  </si>
  <si>
    <t xml:space="preserve">            Serviços e Atividades Financeiras</t>
  </si>
  <si>
    <t xml:space="preserve">            Outros Serviços</t>
  </si>
  <si>
    <t xml:space="preserve">            Contribuições para Entidades Privadas de Serviço Social e de Formação Profissional</t>
  </si>
  <si>
    <t xml:space="preserve">            Contribuição para o Custeio do Serviço de Iluminação Pública</t>
  </si>
  <si>
    <t xml:space="preserve">            Exploração do Patrimônio Imobiliário do Estado</t>
  </si>
  <si>
    <t xml:space="preserve">            Valores Mobiliários</t>
  </si>
  <si>
    <t xml:space="preserve">            Exploração de Recursos Naturais</t>
  </si>
  <si>
    <t xml:space="preserve">            Exploração do Patrimônio Intangível</t>
  </si>
  <si>
    <t xml:space="preserve">            Delegação de Serviços Públicos Mediante Concessão, Permissão, Autorização ou Licença</t>
  </si>
  <si>
    <t xml:space="preserve">            Demais Receitas Patrimoniais</t>
  </si>
  <si>
    <t xml:space="preserve">            Cessão de Direitos</t>
  </si>
  <si>
    <t xml:space="preserve">            Operações de Crédito - Mercado Interno</t>
  </si>
  <si>
    <t xml:space="preserve">            Operações de Crédito - Mercado Externo</t>
  </si>
  <si>
    <t xml:space="preserve">            Alienação de Bens Intangíveis</t>
  </si>
  <si>
    <t xml:space="preserve">            Integralização do Capital Social</t>
  </si>
  <si>
    <t xml:space="preserve">            Remuneração das Disponibilidades do Tesouro</t>
  </si>
  <si>
    <t xml:space="preserve">            Resgate de Títulos do Tesouro</t>
  </si>
  <si>
    <t xml:space="preserve">            Demais Receitas de Capital       </t>
  </si>
  <si>
    <t xml:space="preserve">     Operações de Crédito - Mercado Interno</t>
  </si>
  <si>
    <t xml:space="preserve">    Operações de Crédito - Mercado Externo</t>
  </si>
  <si>
    <t xml:space="preserve">    Superávit Financeiro Utilizado para Créditos Adicionais</t>
  </si>
  <si>
    <t xml:space="preserve">          2 - Imprensa Oficial, CEDAE e AGERIO não constam nos Orçamentos Fiscal e da Seguridade Social no exercício de 2019.</t>
  </si>
  <si>
    <t>Stephanie Guimarães da Silva</t>
  </si>
  <si>
    <t>Subsecretária de Estado - ID: 4.412.059-1</t>
  </si>
  <si>
    <t>Contadora - CRC-RJ-115174/O-0</t>
  </si>
  <si>
    <t>FONTE: Siafe-Rio - Secretaria de Estado de Fazenda.</t>
  </si>
  <si>
    <t xml:space="preserve">        IMPOSTOS, TAXAS E CONTRIBUIÇÕES DE MELHORIA</t>
  </si>
  <si>
    <t xml:space="preserve"> Contribuição de Melhoria</t>
  </si>
  <si>
    <t xml:space="preserve">          3 - A diferença de R$ 8.002.595.184 (oito bilhões, dois milhões, quinhentos e noventa e cinco mil e cento e oitenta e quatro reais) entre a Previsão Inicial da Receita e a Dotação Inicial da Despesa é referente ao "Déficit do Orçamento" considerado na Lei Orçamentária Anual de 2019.</t>
  </si>
  <si>
    <t>Contribuição de Melhoria</t>
  </si>
  <si>
    <t>Obs.:  1 - Excluídas a Imprensa Oficial, a CEDAE e a AGERIO por não se enquadrarem no conceito de Empresa Dependente.</t>
  </si>
  <si>
    <t xml:space="preserve">  JUROS E ENCARGOS DA DÍVIDA</t>
  </si>
  <si>
    <t>JANEIRO A OUTUBRO 2019/BIMESTRE SETEMBRO-OUTUBRO</t>
  </si>
  <si>
    <t>Emissão: 18/11/2019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</si>
</sst>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_);\(#,##0.0\)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-* #,##0_-;\-* #,##0_-;_-* &quot;-&quot;??_-;_-@_-"/>
    <numFmt numFmtId="179" formatCode="_(* #,##0.0_);_(* \(#,##0.0\);_(* &quot;-&quot;_);_(@_)"/>
    <numFmt numFmtId="180" formatCode="_(* #,##0.00_);_(* \(#,##0.00\);_(* &quot;-&quot;_);_(@_)"/>
    <numFmt numFmtId="181" formatCode="&quot;Sim&quot;;&quot;Sim&quot;;&quot;Não&quot;"/>
    <numFmt numFmtId="182" formatCode="&quot;Verdadeiro&quot;;&quot;Verdadeiro&quot;;&quot;Falso&quot;"/>
    <numFmt numFmtId="183" formatCode="&quot;Ativado&quot;;&quot;Ativado&quot;;&quot;Desativado&quot;"/>
    <numFmt numFmtId="184" formatCode="[$€-2]\ #,##0.00_);[Red]\([$€-2]\ #,##0.00\)"/>
  </numFmts>
  <fonts count="49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1" fillId="0" borderId="0" xfId="48" applyNumberFormat="1" applyFont="1" applyFill="1" applyAlignment="1">
      <alignment/>
      <protection/>
    </xf>
    <xf numFmtId="0" fontId="2" fillId="0" borderId="0" xfId="48" applyNumberFormat="1" applyFont="1" applyFill="1" applyAlignment="1">
      <alignment/>
      <protection/>
    </xf>
    <xf numFmtId="0" fontId="3" fillId="0" borderId="0" xfId="48" applyNumberFormat="1" applyFont="1" applyFill="1" applyAlignment="1">
      <alignment/>
      <protection/>
    </xf>
    <xf numFmtId="0" fontId="4" fillId="0" borderId="0" xfId="48" applyNumberFormat="1" applyFont="1" applyFill="1" applyAlignment="1">
      <alignment/>
      <protection/>
    </xf>
    <xf numFmtId="49" fontId="4" fillId="0" borderId="0" xfId="48" applyNumberFormat="1" applyFont="1" applyFill="1" applyAlignment="1">
      <alignment horizontal="center"/>
      <protection/>
    </xf>
    <xf numFmtId="49" fontId="3" fillId="0" borderId="0" xfId="48" applyNumberFormat="1" applyFont="1" applyFill="1" applyAlignment="1">
      <alignment horizontal="center"/>
      <protection/>
    </xf>
    <xf numFmtId="0" fontId="3" fillId="0" borderId="0" xfId="48" applyNumberFormat="1" applyFont="1" applyFill="1" applyAlignment="1">
      <alignment horizontal="center"/>
      <protection/>
    </xf>
    <xf numFmtId="49" fontId="3" fillId="0" borderId="0" xfId="48" applyNumberFormat="1" applyFont="1" applyFill="1" applyAlignment="1">
      <alignment/>
      <protection/>
    </xf>
    <xf numFmtId="0" fontId="3" fillId="0" borderId="0" xfId="48" applyFont="1" applyFill="1" applyBorder="1" applyAlignment="1">
      <alignment/>
      <protection/>
    </xf>
    <xf numFmtId="0" fontId="3" fillId="0" borderId="0" xfId="48" applyFont="1" applyFill="1" applyAlignment="1">
      <alignment/>
      <protection/>
    </xf>
    <xf numFmtId="172" fontId="3" fillId="0" borderId="0" xfId="48" applyNumberFormat="1" applyFont="1" applyFill="1" applyAlignment="1">
      <alignment/>
      <protection/>
    </xf>
    <xf numFmtId="0" fontId="3" fillId="0" borderId="0" xfId="48" applyFont="1" applyFill="1" applyAlignment="1">
      <alignment horizontal="right"/>
      <protection/>
    </xf>
    <xf numFmtId="167" fontId="3" fillId="0" borderId="0" xfId="48" applyNumberFormat="1" applyFont="1" applyFill="1" applyAlignment="1">
      <alignment horizontal="right"/>
      <protection/>
    </xf>
    <xf numFmtId="169" fontId="1" fillId="33" borderId="10" xfId="64" applyNumberFormat="1" applyFont="1" applyFill="1" applyBorder="1" applyAlignment="1">
      <alignment horizontal="right"/>
    </xf>
    <xf numFmtId="169" fontId="1" fillId="33" borderId="11" xfId="64" applyNumberFormat="1" applyFont="1" applyFill="1" applyBorder="1" applyAlignment="1">
      <alignment horizontal="right"/>
    </xf>
    <xf numFmtId="169" fontId="1" fillId="33" borderId="0" xfId="64" applyNumberFormat="1" applyFont="1" applyFill="1" applyAlignment="1">
      <alignment horizontal="right"/>
    </xf>
    <xf numFmtId="180" fontId="1" fillId="33" borderId="11" xfId="63" applyNumberFormat="1" applyFont="1" applyFill="1" applyBorder="1" applyAlignment="1">
      <alignment horizontal="right"/>
    </xf>
    <xf numFmtId="3" fontId="3" fillId="0" borderId="0" xfId="48" applyNumberFormat="1" applyFont="1" applyFill="1" applyAlignment="1">
      <alignment/>
      <protection/>
    </xf>
    <xf numFmtId="169" fontId="1" fillId="33" borderId="12" xfId="64" applyNumberFormat="1" applyFont="1" applyFill="1" applyBorder="1" applyAlignment="1">
      <alignment horizontal="right"/>
    </xf>
    <xf numFmtId="169" fontId="1" fillId="33" borderId="13" xfId="64" applyNumberFormat="1" applyFont="1" applyFill="1" applyBorder="1" applyAlignment="1">
      <alignment horizontal="right"/>
    </xf>
    <xf numFmtId="180" fontId="1" fillId="33" borderId="13" xfId="63" applyNumberFormat="1" applyFont="1" applyFill="1" applyBorder="1" applyAlignment="1">
      <alignment horizontal="right"/>
    </xf>
    <xf numFmtId="174" fontId="3" fillId="0" borderId="0" xfId="48" applyNumberFormat="1" applyFont="1" applyFill="1" applyAlignment="1">
      <alignment/>
      <protection/>
    </xf>
    <xf numFmtId="169" fontId="3" fillId="33" borderId="12" xfId="64" applyNumberFormat="1" applyFont="1" applyFill="1" applyBorder="1" applyAlignment="1">
      <alignment horizontal="right"/>
    </xf>
    <xf numFmtId="169" fontId="3" fillId="33" borderId="13" xfId="64" applyNumberFormat="1" applyFont="1" applyFill="1" applyBorder="1" applyAlignment="1">
      <alignment horizontal="right"/>
    </xf>
    <xf numFmtId="169" fontId="3" fillId="33" borderId="0" xfId="64" applyNumberFormat="1" applyFont="1" applyFill="1" applyAlignment="1">
      <alignment horizontal="right"/>
    </xf>
    <xf numFmtId="180" fontId="3" fillId="33" borderId="13" xfId="63" applyNumberFormat="1" applyFont="1" applyFill="1" applyBorder="1" applyAlignment="1">
      <alignment horizontal="right"/>
    </xf>
    <xf numFmtId="174" fontId="45" fillId="0" borderId="0" xfId="48" applyNumberFormat="1" applyFont="1" applyFill="1" applyAlignment="1">
      <alignment/>
      <protection/>
    </xf>
    <xf numFmtId="169" fontId="3" fillId="0" borderId="0" xfId="48" applyNumberFormat="1" applyFont="1" applyFill="1" applyAlignment="1">
      <alignment/>
      <protection/>
    </xf>
    <xf numFmtId="171" fontId="3" fillId="33" borderId="13" xfId="63" applyFont="1" applyFill="1" applyBorder="1" applyAlignment="1">
      <alignment horizontal="right"/>
    </xf>
    <xf numFmtId="169" fontId="1" fillId="33" borderId="14" xfId="64" applyNumberFormat="1" applyFont="1" applyFill="1" applyBorder="1" applyAlignment="1">
      <alignment horizontal="right"/>
    </xf>
    <xf numFmtId="169" fontId="1" fillId="33" borderId="15" xfId="64" applyNumberFormat="1" applyFont="1" applyFill="1" applyBorder="1" applyAlignment="1">
      <alignment horizontal="right"/>
    </xf>
    <xf numFmtId="180" fontId="1" fillId="33" borderId="15" xfId="63" applyNumberFormat="1" applyFont="1" applyFill="1" applyBorder="1" applyAlignment="1">
      <alignment horizontal="right"/>
    </xf>
    <xf numFmtId="169" fontId="1" fillId="33" borderId="16" xfId="64" applyNumberFormat="1" applyFont="1" applyFill="1" applyBorder="1" applyAlignment="1">
      <alignment horizontal="right"/>
    </xf>
    <xf numFmtId="169" fontId="3" fillId="33" borderId="0" xfId="64" applyNumberFormat="1" applyFont="1" applyFill="1" applyBorder="1" applyAlignment="1">
      <alignment horizontal="right"/>
    </xf>
    <xf numFmtId="169" fontId="3" fillId="33" borderId="12" xfId="64" applyNumberFormat="1" applyFont="1" applyFill="1" applyBorder="1" applyAlignment="1">
      <alignment horizontal="right"/>
    </xf>
    <xf numFmtId="169" fontId="3" fillId="33" borderId="17" xfId="64" applyNumberFormat="1" applyFont="1" applyFill="1" applyBorder="1" applyAlignment="1">
      <alignment horizontal="right"/>
    </xf>
    <xf numFmtId="169" fontId="3" fillId="33" borderId="18" xfId="64" applyNumberFormat="1" applyFont="1" applyFill="1" applyBorder="1" applyAlignment="1">
      <alignment horizontal="right"/>
    </xf>
    <xf numFmtId="180" fontId="3" fillId="33" borderId="18" xfId="63" applyNumberFormat="1" applyFont="1" applyFill="1" applyBorder="1" applyAlignment="1">
      <alignment horizontal="right"/>
    </xf>
    <xf numFmtId="169" fontId="1" fillId="33" borderId="0" xfId="64" applyNumberFormat="1" applyFont="1" applyFill="1" applyBorder="1" applyAlignment="1">
      <alignment horizontal="right"/>
    </xf>
    <xf numFmtId="180" fontId="1" fillId="33" borderId="18" xfId="63" applyNumberFormat="1" applyFont="1" applyFill="1" applyBorder="1" applyAlignment="1">
      <alignment horizontal="right"/>
    </xf>
    <xf numFmtId="169" fontId="45" fillId="0" borderId="0" xfId="48" applyNumberFormat="1" applyFont="1" applyFill="1" applyAlignment="1">
      <alignment/>
      <protection/>
    </xf>
    <xf numFmtId="169" fontId="1" fillId="33" borderId="15" xfId="63" applyNumberFormat="1" applyFont="1" applyFill="1" applyBorder="1" applyAlignment="1">
      <alignment horizontal="right"/>
    </xf>
    <xf numFmtId="169" fontId="1" fillId="33" borderId="14" xfId="63" applyNumberFormat="1" applyFont="1" applyFill="1" applyBorder="1" applyAlignment="1">
      <alignment horizontal="right"/>
    </xf>
    <xf numFmtId="169" fontId="45" fillId="33" borderId="0" xfId="48" applyNumberFormat="1" applyFont="1" applyFill="1" applyAlignment="1">
      <alignment wrapText="1"/>
      <protection/>
    </xf>
    <xf numFmtId="169" fontId="3" fillId="33" borderId="15" xfId="64" applyNumberFormat="1" applyFont="1" applyFill="1" applyBorder="1" applyAlignment="1">
      <alignment horizontal="right"/>
    </xf>
    <xf numFmtId="169" fontId="3" fillId="33" borderId="15" xfId="63" applyNumberFormat="1" applyFont="1" applyFill="1" applyBorder="1" applyAlignment="1">
      <alignment/>
    </xf>
    <xf numFmtId="169" fontId="3" fillId="33" borderId="14" xfId="64" applyNumberFormat="1" applyFont="1" applyFill="1" applyBorder="1" applyAlignment="1">
      <alignment horizontal="right"/>
    </xf>
    <xf numFmtId="169" fontId="3" fillId="33" borderId="15" xfId="64" applyNumberFormat="1" applyFont="1" applyFill="1" applyBorder="1" applyAlignment="1">
      <alignment horizontal="right" vertical="center"/>
    </xf>
    <xf numFmtId="0" fontId="2" fillId="33" borderId="0" xfId="48" applyFont="1" applyFill="1" applyBorder="1">
      <alignment/>
      <protection/>
    </xf>
    <xf numFmtId="37" fontId="2" fillId="33" borderId="0" xfId="48" applyNumberFormat="1" applyFont="1" applyFill="1" applyBorder="1" applyAlignment="1">
      <alignment horizontal="center"/>
      <protection/>
    </xf>
    <xf numFmtId="0" fontId="2" fillId="33" borderId="0" xfId="48" applyNumberFormat="1" applyFont="1" applyFill="1" applyBorder="1" applyAlignment="1">
      <alignment horizontal="center"/>
      <protection/>
    </xf>
    <xf numFmtId="0" fontId="2" fillId="33" borderId="0" xfId="48" applyFont="1" applyFill="1" applyBorder="1" applyAlignment="1">
      <alignment horizontal="center"/>
      <protection/>
    </xf>
    <xf numFmtId="37" fontId="2" fillId="33" borderId="0" xfId="48" applyNumberFormat="1" applyFont="1" applyFill="1" applyBorder="1" applyAlignment="1">
      <alignment horizontal="center" vertical="center"/>
      <protection/>
    </xf>
    <xf numFmtId="37" fontId="3" fillId="33" borderId="0" xfId="48" applyNumberFormat="1" applyFont="1" applyFill="1" applyBorder="1" applyAlignment="1">
      <alignment horizontal="center" vertical="center"/>
      <protection/>
    </xf>
    <xf numFmtId="0" fontId="1" fillId="33" borderId="0" xfId="48" applyNumberFormat="1" applyFont="1" applyFill="1" applyBorder="1" applyAlignment="1">
      <alignment wrapText="1"/>
      <protection/>
    </xf>
    <xf numFmtId="169" fontId="1" fillId="33" borderId="19" xfId="64" applyNumberFormat="1" applyFont="1" applyFill="1" applyBorder="1" applyAlignment="1">
      <alignment horizontal="right"/>
    </xf>
    <xf numFmtId="0" fontId="1" fillId="33" borderId="0" xfId="48" applyNumberFormat="1" applyFont="1" applyFill="1" applyBorder="1" applyAlignment="1">
      <alignment/>
      <protection/>
    </xf>
    <xf numFmtId="0" fontId="3" fillId="33" borderId="0" xfId="48" applyNumberFormat="1" applyFont="1" applyFill="1" applyBorder="1" applyAlignment="1">
      <alignment/>
      <protection/>
    </xf>
    <xf numFmtId="169" fontId="3" fillId="33" borderId="19" xfId="64" applyNumberFormat="1" applyFont="1" applyFill="1" applyBorder="1" applyAlignment="1">
      <alignment horizontal="right"/>
    </xf>
    <xf numFmtId="4" fontId="1" fillId="0" borderId="0" xfId="48" applyNumberFormat="1" applyFont="1" applyFill="1" applyAlignment="1">
      <alignment/>
      <protection/>
    </xf>
    <xf numFmtId="4" fontId="3" fillId="0" borderId="0" xfId="48" applyNumberFormat="1" applyFont="1" applyFill="1" applyAlignment="1">
      <alignment/>
      <protection/>
    </xf>
    <xf numFmtId="43" fontId="3" fillId="0" borderId="0" xfId="48" applyNumberFormat="1" applyFont="1" applyFill="1" applyAlignment="1">
      <alignment/>
      <protection/>
    </xf>
    <xf numFmtId="49" fontId="3" fillId="33" borderId="12" xfId="48" applyNumberFormat="1" applyFont="1" applyFill="1" applyBorder="1" applyAlignment="1">
      <alignment/>
      <protection/>
    </xf>
    <xf numFmtId="0" fontId="1" fillId="33" borderId="20" xfId="48" applyNumberFormat="1" applyFont="1" applyFill="1" applyBorder="1" applyAlignment="1">
      <alignment/>
      <protection/>
    </xf>
    <xf numFmtId="169" fontId="1" fillId="33" borderId="21" xfId="64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1" fillId="33" borderId="10" xfId="48" applyNumberFormat="1" applyFont="1" applyFill="1" applyBorder="1" applyAlignment="1">
      <alignment wrapText="1"/>
      <protection/>
    </xf>
    <xf numFmtId="169" fontId="1" fillId="33" borderId="22" xfId="64" applyNumberFormat="1" applyFont="1" applyFill="1" applyBorder="1" applyAlignment="1">
      <alignment horizontal="right"/>
    </xf>
    <xf numFmtId="169" fontId="3" fillId="33" borderId="0" xfId="48" applyNumberFormat="1" applyFont="1" applyFill="1" applyAlignment="1">
      <alignment/>
      <protection/>
    </xf>
    <xf numFmtId="169" fontId="3" fillId="33" borderId="23" xfId="64" applyNumberFormat="1" applyFont="1" applyFill="1" applyBorder="1" applyAlignment="1">
      <alignment horizontal="right"/>
    </xf>
    <xf numFmtId="169" fontId="3" fillId="33" borderId="18" xfId="48" applyNumberFormat="1" applyFont="1" applyFill="1" applyBorder="1" applyAlignment="1">
      <alignment/>
      <protection/>
    </xf>
    <xf numFmtId="169" fontId="1" fillId="33" borderId="23" xfId="64" applyNumberFormat="1" applyFont="1" applyFill="1" applyBorder="1" applyAlignment="1">
      <alignment horizontal="right"/>
    </xf>
    <xf numFmtId="169" fontId="1" fillId="33" borderId="24" xfId="64" applyNumberFormat="1" applyFont="1" applyFill="1" applyBorder="1" applyAlignment="1">
      <alignment horizontal="right"/>
    </xf>
    <xf numFmtId="171" fontId="3" fillId="0" borderId="0" xfId="63" applyFont="1" applyFill="1" applyAlignment="1">
      <alignment/>
    </xf>
    <xf numFmtId="0" fontId="1" fillId="33" borderId="17" xfId="48" applyNumberFormat="1" applyFont="1" applyFill="1" applyBorder="1" applyAlignment="1">
      <alignment/>
      <protection/>
    </xf>
    <xf numFmtId="169" fontId="1" fillId="33" borderId="18" xfId="64" applyNumberFormat="1" applyFont="1" applyFill="1" applyBorder="1" applyAlignment="1">
      <alignment horizontal="right"/>
    </xf>
    <xf numFmtId="0" fontId="6" fillId="33" borderId="0" xfId="48" applyFont="1" applyFill="1" applyBorder="1">
      <alignment/>
      <protection/>
    </xf>
    <xf numFmtId="37" fontId="6" fillId="33" borderId="0" xfId="48" applyNumberFormat="1" applyFont="1" applyFill="1" applyBorder="1" applyAlignment="1">
      <alignment horizontal="center"/>
      <protection/>
    </xf>
    <xf numFmtId="169" fontId="6" fillId="33" borderId="0" xfId="48" applyNumberFormat="1" applyFont="1" applyFill="1" applyBorder="1" applyAlignment="1">
      <alignment horizontal="center"/>
      <protection/>
    </xf>
    <xf numFmtId="0" fontId="6" fillId="33" borderId="0" xfId="48" applyNumberFormat="1" applyFont="1" applyFill="1" applyBorder="1" applyAlignment="1">
      <alignment horizontal="center"/>
      <protection/>
    </xf>
    <xf numFmtId="0" fontId="6" fillId="33" borderId="0" xfId="48" applyFont="1" applyFill="1" applyBorder="1" applyAlignment="1">
      <alignment horizontal="center"/>
      <protection/>
    </xf>
    <xf numFmtId="37" fontId="6" fillId="33" borderId="0" xfId="48" applyNumberFormat="1" applyFont="1" applyFill="1" applyBorder="1" applyAlignment="1">
      <alignment horizontal="center" vertical="center"/>
      <protection/>
    </xf>
    <xf numFmtId="37" fontId="3" fillId="33" borderId="0" xfId="48" applyNumberFormat="1" applyFont="1" applyFill="1" applyBorder="1" applyAlignment="1">
      <alignment horizontal="right" vertical="center"/>
      <protection/>
    </xf>
    <xf numFmtId="49" fontId="4" fillId="33" borderId="0" xfId="48" applyNumberFormat="1" applyFont="1" applyFill="1" applyAlignment="1">
      <alignment horizontal="center"/>
      <protection/>
    </xf>
    <xf numFmtId="0" fontId="4" fillId="33" borderId="0" xfId="48" applyNumberFormat="1" applyFont="1" applyFill="1" applyAlignment="1">
      <alignment horizontal="center"/>
      <protection/>
    </xf>
    <xf numFmtId="49" fontId="3" fillId="33" borderId="0" xfId="48" applyNumberFormat="1" applyFont="1" applyFill="1" applyAlignment="1">
      <alignment horizontal="center"/>
      <protection/>
    </xf>
    <xf numFmtId="0" fontId="3" fillId="33" borderId="0" xfId="48" applyNumberFormat="1" applyFont="1" applyFill="1" applyAlignment="1">
      <alignment horizontal="center"/>
      <protection/>
    </xf>
    <xf numFmtId="49" fontId="3" fillId="33" borderId="0" xfId="48" applyNumberFormat="1" applyFont="1" applyFill="1" applyAlignment="1">
      <alignment/>
      <protection/>
    </xf>
    <xf numFmtId="0" fontId="3" fillId="33" borderId="0" xfId="48" applyFont="1" applyFill="1" applyBorder="1" applyAlignment="1">
      <alignment/>
      <protection/>
    </xf>
    <xf numFmtId="167" fontId="3" fillId="33" borderId="0" xfId="48" applyNumberFormat="1" applyFont="1" applyFill="1" applyAlignment="1">
      <alignment horizontal="right"/>
      <protection/>
    </xf>
    <xf numFmtId="0" fontId="3" fillId="33" borderId="0" xfId="48" applyNumberFormat="1" applyFont="1" applyFill="1" applyAlignment="1">
      <alignment/>
      <protection/>
    </xf>
    <xf numFmtId="169" fontId="3" fillId="33" borderId="24" xfId="64" applyNumberFormat="1" applyFont="1" applyFill="1" applyBorder="1" applyAlignment="1">
      <alignment horizontal="right"/>
    </xf>
    <xf numFmtId="0" fontId="3" fillId="33" borderId="17" xfId="48" applyNumberFormat="1" applyFont="1" applyFill="1" applyBorder="1" applyAlignment="1">
      <alignment/>
      <protection/>
    </xf>
    <xf numFmtId="169" fontId="1" fillId="0" borderId="0" xfId="64" applyNumberFormat="1" applyFont="1" applyFill="1" applyBorder="1" applyAlignment="1">
      <alignment horizontal="right"/>
    </xf>
    <xf numFmtId="49" fontId="3" fillId="0" borderId="0" xfId="64" applyNumberFormat="1" applyFont="1" applyFill="1" applyBorder="1" applyAlignment="1">
      <alignment horizontal="right"/>
    </xf>
    <xf numFmtId="0" fontId="3" fillId="0" borderId="0" xfId="48" applyFont="1" applyFill="1" applyBorder="1" applyAlignment="1">
      <alignment horizontal="left" vertical="center"/>
      <protection/>
    </xf>
    <xf numFmtId="169" fontId="3" fillId="0" borderId="0" xfId="48" applyNumberFormat="1" applyFont="1" applyFill="1" applyBorder="1" applyAlignment="1">
      <alignment horizontal="left" vertical="center"/>
      <protection/>
    </xf>
    <xf numFmtId="171" fontId="3" fillId="0" borderId="0" xfId="63" applyFont="1" applyFill="1" applyBorder="1" applyAlignment="1">
      <alignment horizontal="right" vertical="center"/>
    </xf>
    <xf numFmtId="4" fontId="3" fillId="0" borderId="0" xfId="48" applyNumberFormat="1" applyFont="1" applyFill="1" applyBorder="1" applyAlignment="1">
      <alignment horizontal="left" vertical="center"/>
      <protection/>
    </xf>
    <xf numFmtId="171" fontId="3" fillId="0" borderId="0" xfId="63" applyFont="1" applyFill="1" applyBorder="1" applyAlignment="1">
      <alignment horizontal="left" vertical="center"/>
    </xf>
    <xf numFmtId="0" fontId="6" fillId="0" borderId="0" xfId="48" applyFont="1" applyFill="1" applyBorder="1" applyAlignment="1">
      <alignment horizontal="left" vertical="center"/>
      <protection/>
    </xf>
    <xf numFmtId="0" fontId="46" fillId="0" borderId="0" xfId="48" applyFont="1" applyFill="1" applyBorder="1" applyAlignment="1">
      <alignment horizontal="left" vertical="center"/>
      <protection/>
    </xf>
    <xf numFmtId="0" fontId="6" fillId="0" borderId="0" xfId="48" applyNumberFormat="1" applyFont="1" applyFill="1" applyAlignment="1">
      <alignment/>
      <protection/>
    </xf>
    <xf numFmtId="49" fontId="1" fillId="34" borderId="11" xfId="48" applyNumberFormat="1" applyFont="1" applyFill="1" applyBorder="1" applyAlignment="1">
      <alignment horizontal="center" vertical="center" wrapText="1"/>
      <protection/>
    </xf>
    <xf numFmtId="49" fontId="1" fillId="34" borderId="13" xfId="48" applyNumberFormat="1" applyFont="1" applyFill="1" applyBorder="1" applyAlignment="1">
      <alignment horizontal="center" vertical="center" wrapText="1"/>
      <protection/>
    </xf>
    <xf numFmtId="49" fontId="1" fillId="34" borderId="11" xfId="48" applyNumberFormat="1" applyFont="1" applyFill="1" applyBorder="1" applyAlignment="1">
      <alignment horizontal="center"/>
      <protection/>
    </xf>
    <xf numFmtId="49" fontId="1" fillId="34" borderId="18" xfId="48" applyNumberFormat="1" applyFont="1" applyFill="1" applyBorder="1" applyAlignment="1">
      <alignment horizontal="center"/>
      <protection/>
    </xf>
    <xf numFmtId="171" fontId="3" fillId="33" borderId="0" xfId="63" applyFont="1" applyFill="1" applyAlignment="1">
      <alignment horizontal="center"/>
    </xf>
    <xf numFmtId="171" fontId="3" fillId="33" borderId="0" xfId="63" applyFont="1" applyFill="1" applyAlignment="1">
      <alignment/>
    </xf>
    <xf numFmtId="171" fontId="6" fillId="33" borderId="0" xfId="63" applyFont="1" applyFill="1" applyBorder="1" applyAlignment="1">
      <alignment horizontal="center"/>
    </xf>
    <xf numFmtId="0" fontId="1" fillId="34" borderId="11" xfId="48" applyNumberFormat="1" applyFont="1" applyFill="1" applyBorder="1" applyAlignment="1">
      <alignment horizontal="center"/>
      <protection/>
    </xf>
    <xf numFmtId="0" fontId="1" fillId="34" borderId="22" xfId="48" applyNumberFormat="1" applyFont="1" applyFill="1" applyBorder="1" applyAlignment="1">
      <alignment horizontal="center"/>
      <protection/>
    </xf>
    <xf numFmtId="0" fontId="1" fillId="34" borderId="10" xfId="48" applyNumberFormat="1" applyFont="1" applyFill="1" applyBorder="1" applyAlignment="1">
      <alignment horizontal="center" vertical="center"/>
      <protection/>
    </xf>
    <xf numFmtId="0" fontId="1" fillId="34" borderId="13" xfId="48" applyNumberFormat="1" applyFont="1" applyFill="1" applyBorder="1" applyAlignment="1">
      <alignment horizontal="center"/>
      <protection/>
    </xf>
    <xf numFmtId="0" fontId="1" fillId="34" borderId="19" xfId="48" applyNumberFormat="1" applyFont="1" applyFill="1" applyBorder="1" applyAlignment="1">
      <alignment horizontal="center" wrapText="1"/>
      <protection/>
    </xf>
    <xf numFmtId="0" fontId="1" fillId="34" borderId="19" xfId="48" applyNumberFormat="1" applyFont="1" applyFill="1" applyBorder="1" applyAlignment="1">
      <alignment horizontal="center"/>
      <protection/>
    </xf>
    <xf numFmtId="0" fontId="3" fillId="34" borderId="12" xfId="48" applyNumberFormat="1" applyFont="1" applyFill="1" applyBorder="1" applyAlignment="1">
      <alignment horizontal="center" vertical="center"/>
      <protection/>
    </xf>
    <xf numFmtId="0" fontId="1" fillId="34" borderId="18" xfId="48" applyNumberFormat="1" applyFont="1" applyFill="1" applyBorder="1" applyAlignment="1">
      <alignment horizontal="center"/>
      <protection/>
    </xf>
    <xf numFmtId="0" fontId="1" fillId="34" borderId="23" xfId="48" applyNumberFormat="1" applyFont="1" applyFill="1" applyBorder="1" applyAlignment="1">
      <alignment horizontal="center"/>
      <protection/>
    </xf>
    <xf numFmtId="0" fontId="1" fillId="34" borderId="24" xfId="48" applyNumberFormat="1" applyFont="1" applyFill="1" applyBorder="1" applyAlignment="1">
      <alignment horizontal="center" vertical="center"/>
      <protection/>
    </xf>
    <xf numFmtId="0" fontId="6" fillId="0" borderId="0" xfId="48" applyNumberFormat="1" applyFont="1" applyFill="1" applyBorder="1" applyAlignment="1">
      <alignment/>
      <protection/>
    </xf>
    <xf numFmtId="0" fontId="6" fillId="0" borderId="0" xfId="48" applyFont="1" applyFill="1" applyBorder="1" applyAlignment="1">
      <alignment horizontal="left" vertical="center" wrapText="1"/>
      <protection/>
    </xf>
    <xf numFmtId="178" fontId="6" fillId="0" borderId="0" xfId="48" applyNumberFormat="1" applyFont="1" applyFill="1" applyBorder="1" applyAlignment="1">
      <alignment horizontal="left" vertical="center"/>
      <protection/>
    </xf>
    <xf numFmtId="169" fontId="6" fillId="0" borderId="0" xfId="48" applyNumberFormat="1" applyFont="1" applyFill="1" applyBorder="1" applyAlignment="1">
      <alignment horizontal="left" vertical="center"/>
      <protection/>
    </xf>
    <xf numFmtId="0" fontId="3" fillId="33" borderId="0" xfId="48" applyNumberFormat="1" applyFont="1" applyFill="1" applyBorder="1" applyAlignment="1">
      <alignment horizontal="left" indent="2"/>
      <protection/>
    </xf>
    <xf numFmtId="169" fontId="6" fillId="0" borderId="0" xfId="48" applyNumberFormat="1" applyFont="1" applyFill="1" applyAlignment="1">
      <alignment/>
      <protection/>
    </xf>
    <xf numFmtId="169" fontId="2" fillId="0" borderId="0" xfId="48" applyNumberFormat="1" applyFont="1" applyFill="1" applyAlignment="1">
      <alignment/>
      <protection/>
    </xf>
    <xf numFmtId="0" fontId="3" fillId="33" borderId="0" xfId="48" applyNumberFormat="1" applyFont="1" applyFill="1" applyAlignment="1">
      <alignment horizontal="right"/>
      <protection/>
    </xf>
    <xf numFmtId="169" fontId="3" fillId="33" borderId="12" xfId="64" applyNumberFormat="1" applyFont="1" applyFill="1" applyBorder="1" applyAlignment="1">
      <alignment horizontal="right"/>
    </xf>
    <xf numFmtId="169" fontId="3" fillId="33" borderId="23" xfId="64" applyNumberFormat="1" applyFont="1" applyFill="1" applyBorder="1" applyAlignment="1">
      <alignment horizontal="right"/>
    </xf>
    <xf numFmtId="169" fontId="47" fillId="0" borderId="15" xfId="64" applyNumberFormat="1" applyFont="1" applyFill="1" applyBorder="1" applyAlignment="1">
      <alignment horizontal="right"/>
    </xf>
    <xf numFmtId="37" fontId="6" fillId="33" borderId="20" xfId="48" applyNumberFormat="1" applyFont="1" applyFill="1" applyBorder="1" applyAlignment="1">
      <alignment horizontal="center" vertical="center"/>
      <protection/>
    </xf>
    <xf numFmtId="169" fontId="3" fillId="33" borderId="19" xfId="64" applyNumberFormat="1" applyFont="1" applyFill="1" applyBorder="1" applyAlignment="1">
      <alignment horizontal="right"/>
    </xf>
    <xf numFmtId="169" fontId="3" fillId="33" borderId="0" xfId="64" applyNumberFormat="1" applyFont="1" applyFill="1" applyBorder="1" applyAlignment="1">
      <alignment horizontal="right"/>
    </xf>
    <xf numFmtId="174" fontId="3" fillId="33" borderId="19" xfId="63" applyNumberFormat="1" applyFont="1" applyFill="1" applyBorder="1" applyAlignment="1">
      <alignment horizontal="center"/>
    </xf>
    <xf numFmtId="174" fontId="3" fillId="33" borderId="12" xfId="63" applyNumberFormat="1" applyFont="1" applyFill="1" applyBorder="1" applyAlignment="1">
      <alignment horizontal="center"/>
    </xf>
    <xf numFmtId="169" fontId="3" fillId="33" borderId="19" xfId="64" applyNumberFormat="1" applyFont="1" applyFill="1" applyBorder="1" applyAlignment="1">
      <alignment horizontal="center"/>
    </xf>
    <xf numFmtId="169" fontId="3" fillId="33" borderId="0" xfId="64" applyNumberFormat="1" applyFont="1" applyFill="1" applyBorder="1" applyAlignment="1">
      <alignment horizontal="center"/>
    </xf>
    <xf numFmtId="169" fontId="3" fillId="33" borderId="12" xfId="64" applyNumberFormat="1" applyFont="1" applyFill="1" applyBorder="1" applyAlignment="1">
      <alignment horizontal="center"/>
    </xf>
    <xf numFmtId="49" fontId="3" fillId="33" borderId="24" xfId="48" applyNumberFormat="1" applyFont="1" applyFill="1" applyBorder="1" applyAlignment="1">
      <alignment horizontal="left"/>
      <protection/>
    </xf>
    <xf numFmtId="49" fontId="3" fillId="33" borderId="12" xfId="48" applyNumberFormat="1" applyFont="1" applyFill="1" applyBorder="1" applyAlignment="1">
      <alignment horizontal="left"/>
      <protection/>
    </xf>
    <xf numFmtId="169" fontId="3" fillId="33" borderId="23" xfId="64" applyNumberFormat="1" applyFont="1" applyFill="1" applyBorder="1" applyAlignment="1">
      <alignment horizontal="right"/>
    </xf>
    <xf numFmtId="169" fontId="3" fillId="33" borderId="17" xfId="64" applyNumberFormat="1" applyFont="1" applyFill="1" applyBorder="1" applyAlignment="1">
      <alignment horizontal="right"/>
    </xf>
    <xf numFmtId="0" fontId="1" fillId="34" borderId="21" xfId="48" applyNumberFormat="1" applyFont="1" applyFill="1" applyBorder="1" applyAlignment="1">
      <alignment horizontal="center"/>
      <protection/>
    </xf>
    <xf numFmtId="0" fontId="1" fillId="34" borderId="20" xfId="48" applyNumberFormat="1" applyFont="1" applyFill="1" applyBorder="1" applyAlignment="1">
      <alignment horizontal="center"/>
      <protection/>
    </xf>
    <xf numFmtId="0" fontId="1" fillId="34" borderId="14" xfId="48" applyNumberFormat="1" applyFont="1" applyFill="1" applyBorder="1" applyAlignment="1">
      <alignment horizontal="center"/>
      <protection/>
    </xf>
    <xf numFmtId="49" fontId="3" fillId="33" borderId="0" xfId="48" applyNumberFormat="1" applyFont="1" applyFill="1" applyBorder="1" applyAlignment="1">
      <alignment horizontal="left"/>
      <protection/>
    </xf>
    <xf numFmtId="174" fontId="3" fillId="33" borderId="23" xfId="63" applyNumberFormat="1" applyFont="1" applyFill="1" applyBorder="1" applyAlignment="1">
      <alignment horizontal="center"/>
    </xf>
    <xf numFmtId="174" fontId="3" fillId="33" borderId="24" xfId="63" applyNumberFormat="1" applyFont="1" applyFill="1" applyBorder="1" applyAlignment="1">
      <alignment horizontal="center"/>
    </xf>
    <xf numFmtId="0" fontId="1" fillId="34" borderId="22" xfId="48" applyNumberFormat="1" applyFont="1" applyFill="1" applyBorder="1" applyAlignment="1">
      <alignment horizontal="center" vertical="center" wrapText="1"/>
      <protection/>
    </xf>
    <xf numFmtId="0" fontId="1" fillId="34" borderId="16" xfId="48" applyNumberFormat="1" applyFont="1" applyFill="1" applyBorder="1" applyAlignment="1">
      <alignment horizontal="center" vertical="center" wrapText="1"/>
      <protection/>
    </xf>
    <xf numFmtId="0" fontId="1" fillId="34" borderId="19" xfId="48" applyNumberFormat="1" applyFont="1" applyFill="1" applyBorder="1" applyAlignment="1">
      <alignment horizontal="center" vertical="center" wrapText="1"/>
      <protection/>
    </xf>
    <xf numFmtId="0" fontId="1" fillId="34" borderId="0" xfId="48" applyNumberFormat="1" applyFont="1" applyFill="1" applyBorder="1" applyAlignment="1">
      <alignment horizontal="center" vertical="center" wrapText="1"/>
      <protection/>
    </xf>
    <xf numFmtId="0" fontId="4" fillId="33" borderId="0" xfId="48" applyNumberFormat="1" applyFont="1" applyFill="1" applyAlignment="1">
      <alignment horizontal="center"/>
      <protection/>
    </xf>
    <xf numFmtId="49" fontId="4" fillId="33" borderId="0" xfId="48" applyNumberFormat="1" applyFont="1" applyFill="1" applyAlignment="1">
      <alignment horizontal="center"/>
      <protection/>
    </xf>
    <xf numFmtId="0" fontId="1" fillId="34" borderId="22" xfId="48" applyNumberFormat="1" applyFont="1" applyFill="1" applyBorder="1" applyAlignment="1">
      <alignment horizontal="center"/>
      <protection/>
    </xf>
    <xf numFmtId="0" fontId="1" fillId="34" borderId="10" xfId="48" applyNumberFormat="1" applyFont="1" applyFill="1" applyBorder="1" applyAlignment="1">
      <alignment horizontal="center"/>
      <protection/>
    </xf>
    <xf numFmtId="0" fontId="1" fillId="34" borderId="19" xfId="48" applyNumberFormat="1" applyFont="1" applyFill="1" applyBorder="1" applyAlignment="1">
      <alignment horizontal="center"/>
      <protection/>
    </xf>
    <xf numFmtId="0" fontId="1" fillId="34" borderId="12" xfId="48" applyNumberFormat="1" applyFont="1" applyFill="1" applyBorder="1" applyAlignment="1">
      <alignment horizontal="center"/>
      <protection/>
    </xf>
    <xf numFmtId="0" fontId="1" fillId="34" borderId="10" xfId="48" applyNumberFormat="1" applyFont="1" applyFill="1" applyBorder="1" applyAlignment="1">
      <alignment horizontal="center" vertical="center"/>
      <protection/>
    </xf>
    <xf numFmtId="0" fontId="1" fillId="34" borderId="12" xfId="48" applyNumberFormat="1" applyFont="1" applyFill="1" applyBorder="1" applyAlignment="1">
      <alignment horizontal="center" vertical="center"/>
      <protection/>
    </xf>
    <xf numFmtId="0" fontId="1" fillId="34" borderId="24" xfId="48" applyNumberFormat="1" applyFont="1" applyFill="1" applyBorder="1" applyAlignment="1">
      <alignment horizontal="center" vertical="center"/>
      <protection/>
    </xf>
    <xf numFmtId="0" fontId="6" fillId="0" borderId="0" xfId="48" applyFont="1" applyFill="1" applyBorder="1" applyAlignment="1">
      <alignment horizontal="left" vertical="center" wrapText="1"/>
      <protection/>
    </xf>
    <xf numFmtId="169" fontId="3" fillId="33" borderId="23" xfId="64" applyNumberFormat="1" applyFont="1" applyFill="1" applyBorder="1" applyAlignment="1">
      <alignment horizontal="center"/>
    </xf>
    <xf numFmtId="169" fontId="3" fillId="33" borderId="24" xfId="64" applyNumberFormat="1" applyFont="1" applyFill="1" applyBorder="1" applyAlignment="1">
      <alignment horizontal="center"/>
    </xf>
    <xf numFmtId="169" fontId="3" fillId="33" borderId="17" xfId="64" applyNumberFormat="1" applyFont="1" applyFill="1" applyBorder="1" applyAlignment="1">
      <alignment horizontal="center"/>
    </xf>
    <xf numFmtId="169" fontId="1" fillId="33" borderId="19" xfId="64" applyNumberFormat="1" applyFont="1" applyFill="1" applyBorder="1" applyAlignment="1">
      <alignment horizontal="center"/>
    </xf>
    <xf numFmtId="169" fontId="1" fillId="33" borderId="12" xfId="64" applyNumberFormat="1" applyFont="1" applyFill="1" applyBorder="1" applyAlignment="1">
      <alignment horizontal="center"/>
    </xf>
    <xf numFmtId="169" fontId="1" fillId="33" borderId="0" xfId="64" applyNumberFormat="1" applyFont="1" applyFill="1" applyBorder="1" applyAlignment="1">
      <alignment horizontal="center"/>
    </xf>
    <xf numFmtId="0" fontId="1" fillId="34" borderId="23" xfId="48" applyNumberFormat="1" applyFont="1" applyFill="1" applyBorder="1" applyAlignment="1">
      <alignment horizontal="center"/>
      <protection/>
    </xf>
    <xf numFmtId="0" fontId="1" fillId="34" borderId="24" xfId="48" applyNumberFormat="1" applyFont="1" applyFill="1" applyBorder="1" applyAlignment="1">
      <alignment horizontal="center"/>
      <protection/>
    </xf>
    <xf numFmtId="0" fontId="1" fillId="34" borderId="17" xfId="48" applyNumberFormat="1" applyFont="1" applyFill="1" applyBorder="1" applyAlignment="1">
      <alignment horizontal="center"/>
      <protection/>
    </xf>
    <xf numFmtId="174" fontId="1" fillId="33" borderId="19" xfId="63" applyNumberFormat="1" applyFont="1" applyFill="1" applyBorder="1" applyAlignment="1">
      <alignment horizontal="center"/>
    </xf>
    <xf numFmtId="174" fontId="1" fillId="33" borderId="12" xfId="63" applyNumberFormat="1" applyFont="1" applyFill="1" applyBorder="1" applyAlignment="1">
      <alignment horizontal="center"/>
    </xf>
    <xf numFmtId="169" fontId="1" fillId="33" borderId="19" xfId="64" applyNumberFormat="1" applyFont="1" applyFill="1" applyBorder="1" applyAlignment="1">
      <alignment horizontal="right"/>
    </xf>
    <xf numFmtId="169" fontId="1" fillId="33" borderId="0" xfId="64" applyNumberFormat="1" applyFont="1" applyFill="1" applyBorder="1" applyAlignment="1">
      <alignment horizontal="right"/>
    </xf>
    <xf numFmtId="49" fontId="1" fillId="33" borderId="12" xfId="48" applyNumberFormat="1" applyFont="1" applyFill="1" applyBorder="1" applyAlignment="1">
      <alignment horizontal="left"/>
      <protection/>
    </xf>
    <xf numFmtId="174" fontId="3" fillId="33" borderId="19" xfId="63" applyNumberFormat="1" applyFont="1" applyFill="1" applyBorder="1" applyAlignment="1">
      <alignment horizontal="right"/>
    </xf>
    <xf numFmtId="174" fontId="3" fillId="33" borderId="12" xfId="63" applyNumberFormat="1" applyFont="1" applyFill="1" applyBorder="1" applyAlignment="1">
      <alignment horizontal="right"/>
    </xf>
    <xf numFmtId="49" fontId="3" fillId="33" borderId="12" xfId="48" applyNumberFormat="1" applyFont="1" applyFill="1" applyBorder="1" applyAlignment="1">
      <alignment horizontal="left" indent="4"/>
      <protection/>
    </xf>
    <xf numFmtId="174" fontId="1" fillId="33" borderId="19" xfId="63" applyNumberFormat="1" applyFont="1" applyFill="1" applyBorder="1" applyAlignment="1">
      <alignment horizontal="right"/>
    </xf>
    <xf numFmtId="174" fontId="1" fillId="33" borderId="12" xfId="63" applyNumberFormat="1" applyFont="1" applyFill="1" applyBorder="1" applyAlignment="1">
      <alignment horizontal="right"/>
    </xf>
    <xf numFmtId="49" fontId="1" fillId="34" borderId="23" xfId="48" applyNumberFormat="1" applyFont="1" applyFill="1" applyBorder="1" applyAlignment="1">
      <alignment horizontal="center"/>
      <protection/>
    </xf>
    <xf numFmtId="49" fontId="1" fillId="34" borderId="24" xfId="48" applyNumberFormat="1" applyFont="1" applyFill="1" applyBorder="1" applyAlignment="1">
      <alignment horizontal="center"/>
      <protection/>
    </xf>
    <xf numFmtId="49" fontId="1" fillId="34" borderId="17" xfId="48" applyNumberFormat="1" applyFont="1" applyFill="1" applyBorder="1" applyAlignment="1">
      <alignment horizontal="center"/>
      <protection/>
    </xf>
    <xf numFmtId="0" fontId="1" fillId="33" borderId="0" xfId="48" applyFont="1" applyFill="1" applyBorder="1" applyAlignment="1">
      <alignment horizontal="left" wrapText="1"/>
      <protection/>
    </xf>
    <xf numFmtId="0" fontId="1" fillId="33" borderId="12" xfId="48" applyFont="1" applyFill="1" applyBorder="1" applyAlignment="1">
      <alignment horizontal="left" wrapText="1"/>
      <protection/>
    </xf>
    <xf numFmtId="174" fontId="1" fillId="33" borderId="22" xfId="63" applyNumberFormat="1" applyFont="1" applyFill="1" applyBorder="1" applyAlignment="1">
      <alignment horizontal="right"/>
    </xf>
    <xf numFmtId="174" fontId="1" fillId="33" borderId="10" xfId="63" applyNumberFormat="1" applyFont="1" applyFill="1" applyBorder="1" applyAlignment="1">
      <alignment horizontal="right"/>
    </xf>
    <xf numFmtId="169" fontId="1" fillId="33" borderId="22" xfId="64" applyNumberFormat="1" applyFont="1" applyFill="1" applyBorder="1" applyAlignment="1">
      <alignment horizontal="right"/>
    </xf>
    <xf numFmtId="169" fontId="1" fillId="33" borderId="16" xfId="64" applyNumberFormat="1" applyFont="1" applyFill="1" applyBorder="1" applyAlignment="1">
      <alignment horizontal="right"/>
    </xf>
    <xf numFmtId="49" fontId="1" fillId="34" borderId="11" xfId="48" applyNumberFormat="1" applyFont="1" applyFill="1" applyBorder="1" applyAlignment="1">
      <alignment horizontal="center" vertical="center" wrapText="1"/>
      <protection/>
    </xf>
    <xf numFmtId="49" fontId="1" fillId="34" borderId="13" xfId="48" applyNumberFormat="1" applyFont="1" applyFill="1" applyBorder="1" applyAlignment="1">
      <alignment horizontal="center" vertical="center" wrapText="1"/>
      <protection/>
    </xf>
    <xf numFmtId="49" fontId="1" fillId="34" borderId="18" xfId="48" applyNumberFormat="1" applyFont="1" applyFill="1" applyBorder="1" applyAlignment="1">
      <alignment horizontal="center" vertical="center" wrapText="1"/>
      <protection/>
    </xf>
    <xf numFmtId="0" fontId="1" fillId="34" borderId="21" xfId="48" applyFont="1" applyFill="1" applyBorder="1" applyAlignment="1">
      <alignment horizontal="center" vertical="center"/>
      <protection/>
    </xf>
    <xf numFmtId="0" fontId="1" fillId="34" borderId="20" xfId="48" applyFont="1" applyFill="1" applyBorder="1" applyAlignment="1">
      <alignment horizontal="center" vertical="center"/>
      <protection/>
    </xf>
    <xf numFmtId="0" fontId="1" fillId="34" borderId="14" xfId="48" applyFont="1" applyFill="1" applyBorder="1" applyAlignment="1">
      <alignment horizontal="center" vertical="center"/>
      <protection/>
    </xf>
    <xf numFmtId="49" fontId="1" fillId="34" borderId="22" xfId="48" applyNumberFormat="1" applyFont="1" applyFill="1" applyBorder="1" applyAlignment="1">
      <alignment horizontal="center"/>
      <protection/>
    </xf>
    <xf numFmtId="49" fontId="1" fillId="34" borderId="10" xfId="48" applyNumberFormat="1" applyFont="1" applyFill="1" applyBorder="1" applyAlignment="1">
      <alignment horizontal="center"/>
      <protection/>
    </xf>
    <xf numFmtId="49" fontId="1" fillId="34" borderId="19" xfId="48" applyNumberFormat="1" applyFont="1" applyFill="1" applyBorder="1" applyAlignment="1">
      <alignment horizontal="center"/>
      <protection/>
    </xf>
    <xf numFmtId="49" fontId="1" fillId="34" borderId="0" xfId="48" applyNumberFormat="1" applyFont="1" applyFill="1" applyBorder="1" applyAlignment="1">
      <alignment horizontal="center"/>
      <protection/>
    </xf>
    <xf numFmtId="0" fontId="1" fillId="34" borderId="16" xfId="48" applyFont="1" applyFill="1" applyBorder="1" applyAlignment="1">
      <alignment horizontal="center" vertical="center"/>
      <protection/>
    </xf>
    <xf numFmtId="0" fontId="1" fillId="34" borderId="10" xfId="48" applyFont="1" applyFill="1" applyBorder="1" applyAlignment="1">
      <alignment horizontal="center" vertical="center"/>
      <protection/>
    </xf>
    <xf numFmtId="0" fontId="1" fillId="34" borderId="0" xfId="48" applyFont="1" applyFill="1" applyBorder="1" applyAlignment="1">
      <alignment horizontal="center" vertical="center"/>
      <protection/>
    </xf>
    <xf numFmtId="0" fontId="1" fillId="34" borderId="12" xfId="48" applyFont="1" applyFill="1" applyBorder="1" applyAlignment="1">
      <alignment horizontal="center" vertical="center"/>
      <protection/>
    </xf>
    <xf numFmtId="0" fontId="1" fillId="34" borderId="17" xfId="48" applyFont="1" applyFill="1" applyBorder="1" applyAlignment="1">
      <alignment horizontal="center" vertical="center"/>
      <protection/>
    </xf>
    <xf numFmtId="0" fontId="1" fillId="34" borderId="24" xfId="48" applyFont="1" applyFill="1" applyBorder="1" applyAlignment="1">
      <alignment horizontal="center" vertical="center"/>
      <protection/>
    </xf>
    <xf numFmtId="169" fontId="1" fillId="33" borderId="21" xfId="64" applyNumberFormat="1" applyFont="1" applyFill="1" applyBorder="1" applyAlignment="1">
      <alignment horizontal="right"/>
    </xf>
    <xf numFmtId="169" fontId="1" fillId="33" borderId="20" xfId="64" applyNumberFormat="1" applyFont="1" applyFill="1" applyBorder="1" applyAlignment="1">
      <alignment horizontal="right"/>
    </xf>
    <xf numFmtId="169" fontId="1" fillId="33" borderId="14" xfId="64" applyNumberFormat="1" applyFont="1" applyFill="1" applyBorder="1" applyAlignment="1">
      <alignment horizontal="right"/>
    </xf>
    <xf numFmtId="0" fontId="5" fillId="33" borderId="0" xfId="48" applyNumberFormat="1" applyFont="1" applyFill="1" applyAlignment="1">
      <alignment horizontal="center"/>
      <protection/>
    </xf>
    <xf numFmtId="49" fontId="1" fillId="34" borderId="16" xfId="48" applyNumberFormat="1" applyFont="1" applyFill="1" applyBorder="1" applyAlignment="1">
      <alignment horizontal="center"/>
      <protection/>
    </xf>
    <xf numFmtId="169" fontId="1" fillId="33" borderId="22" xfId="64" applyNumberFormat="1" applyFont="1" applyFill="1" applyBorder="1" applyAlignment="1">
      <alignment horizontal="center"/>
    </xf>
    <xf numFmtId="169" fontId="1" fillId="33" borderId="10" xfId="64" applyNumberFormat="1" applyFont="1" applyFill="1" applyBorder="1" applyAlignment="1">
      <alignment horizontal="center"/>
    </xf>
    <xf numFmtId="0" fontId="3" fillId="33" borderId="20" xfId="48" applyFont="1" applyFill="1" applyBorder="1" applyAlignment="1">
      <alignment horizontal="left"/>
      <protection/>
    </xf>
    <xf numFmtId="169" fontId="3" fillId="33" borderId="21" xfId="63" applyNumberFormat="1" applyFont="1" applyFill="1" applyBorder="1" applyAlignment="1">
      <alignment horizontal="center" wrapText="1"/>
    </xf>
    <xf numFmtId="169" fontId="3" fillId="33" borderId="14" xfId="63" applyNumberFormat="1" applyFont="1" applyFill="1" applyBorder="1" applyAlignment="1">
      <alignment horizontal="center" wrapText="1"/>
    </xf>
    <xf numFmtId="169" fontId="3" fillId="33" borderId="21" xfId="64" applyNumberFormat="1" applyFont="1" applyFill="1" applyBorder="1" applyAlignment="1">
      <alignment horizontal="right" vertical="center"/>
    </xf>
    <xf numFmtId="169" fontId="3" fillId="33" borderId="20" xfId="64" applyNumberFormat="1" applyFont="1" applyFill="1" applyBorder="1" applyAlignment="1">
      <alignment horizontal="right" vertical="center"/>
    </xf>
    <xf numFmtId="49" fontId="1" fillId="33" borderId="20" xfId="48" applyNumberFormat="1" applyFont="1" applyFill="1" applyBorder="1" applyAlignment="1">
      <alignment horizontal="left"/>
      <protection/>
    </xf>
    <xf numFmtId="49" fontId="1" fillId="33" borderId="14" xfId="48" applyNumberFormat="1" applyFont="1" applyFill="1" applyBorder="1" applyAlignment="1">
      <alignment horizontal="left"/>
      <protection/>
    </xf>
    <xf numFmtId="169" fontId="1" fillId="33" borderId="21" xfId="63" applyNumberFormat="1" applyFont="1" applyFill="1" applyBorder="1" applyAlignment="1">
      <alignment horizontal="center"/>
    </xf>
    <xf numFmtId="169" fontId="1" fillId="33" borderId="14" xfId="63" applyNumberFormat="1" applyFont="1" applyFill="1" applyBorder="1" applyAlignment="1">
      <alignment horizontal="center"/>
    </xf>
    <xf numFmtId="169" fontId="1" fillId="33" borderId="21" xfId="63" applyNumberFormat="1" applyFont="1" applyFill="1" applyBorder="1" applyAlignment="1">
      <alignment horizontal="right"/>
    </xf>
    <xf numFmtId="169" fontId="1" fillId="33" borderId="20" xfId="63" applyNumberFormat="1" applyFont="1" applyFill="1" applyBorder="1" applyAlignment="1">
      <alignment horizontal="right"/>
    </xf>
    <xf numFmtId="49" fontId="1" fillId="33" borderId="16" xfId="48" applyNumberFormat="1" applyFont="1" applyFill="1" applyBorder="1" applyAlignment="1">
      <alignment horizontal="left"/>
      <protection/>
    </xf>
    <xf numFmtId="49" fontId="1" fillId="33" borderId="10" xfId="48" applyNumberFormat="1" applyFont="1" applyFill="1" applyBorder="1" applyAlignment="1">
      <alignment horizontal="left"/>
      <protection/>
    </xf>
    <xf numFmtId="49" fontId="1" fillId="33" borderId="20" xfId="48" applyNumberFormat="1" applyFont="1" applyFill="1" applyBorder="1" applyAlignment="1">
      <alignment horizontal="left" vertical="center" wrapText="1"/>
      <protection/>
    </xf>
    <xf numFmtId="169" fontId="3" fillId="33" borderId="12" xfId="64" applyNumberFormat="1" applyFont="1" applyFill="1" applyBorder="1" applyAlignment="1">
      <alignment horizontal="right"/>
    </xf>
    <xf numFmtId="0" fontId="3" fillId="33" borderId="0" xfId="48" applyFont="1" applyFill="1" applyBorder="1" applyAlignment="1">
      <alignment horizontal="left"/>
      <protection/>
    </xf>
    <xf numFmtId="0" fontId="3" fillId="33" borderId="12" xfId="48" applyFont="1" applyFill="1" applyBorder="1" applyAlignment="1">
      <alignment horizontal="left"/>
      <protection/>
    </xf>
    <xf numFmtId="0" fontId="3" fillId="33" borderId="14" xfId="48" applyFont="1" applyFill="1" applyBorder="1" applyAlignment="1">
      <alignment horizontal="left"/>
      <protection/>
    </xf>
    <xf numFmtId="0" fontId="3" fillId="33" borderId="17" xfId="48" applyFont="1" applyFill="1" applyBorder="1" applyAlignment="1">
      <alignment horizontal="left"/>
      <protection/>
    </xf>
    <xf numFmtId="0" fontId="3" fillId="33" borderId="24" xfId="48" applyFont="1" applyFill="1" applyBorder="1" applyAlignment="1">
      <alignment horizontal="left"/>
      <protection/>
    </xf>
    <xf numFmtId="169" fontId="3" fillId="33" borderId="24" xfId="64" applyNumberFormat="1" applyFont="1" applyFill="1" applyBorder="1" applyAlignment="1">
      <alignment horizontal="right"/>
    </xf>
    <xf numFmtId="0" fontId="1" fillId="33" borderId="12" xfId="48" applyFont="1" applyFill="1" applyBorder="1" applyAlignment="1">
      <alignment horizontal="left"/>
      <protection/>
    </xf>
    <xf numFmtId="169" fontId="1" fillId="33" borderId="23" xfId="64" applyNumberFormat="1" applyFont="1" applyFill="1" applyBorder="1" applyAlignment="1">
      <alignment horizontal="center"/>
    </xf>
    <xf numFmtId="169" fontId="1" fillId="33" borderId="24" xfId="64" applyNumberFormat="1" applyFont="1" applyFill="1" applyBorder="1" applyAlignment="1">
      <alignment horizontal="center"/>
    </xf>
    <xf numFmtId="0" fontId="1" fillId="33" borderId="16" xfId="48" applyNumberFormat="1" applyFont="1" applyFill="1" applyBorder="1" applyAlignment="1">
      <alignment horizontal="left"/>
      <protection/>
    </xf>
    <xf numFmtId="0" fontId="3" fillId="33" borderId="10" xfId="48" applyFont="1" applyFill="1" applyBorder="1" applyAlignment="1">
      <alignment horizontal="left"/>
      <protection/>
    </xf>
    <xf numFmtId="169" fontId="1" fillId="33" borderId="10" xfId="64" applyNumberFormat="1" applyFont="1" applyFill="1" applyBorder="1" applyAlignment="1">
      <alignment horizontal="right"/>
    </xf>
    <xf numFmtId="0" fontId="4" fillId="0" borderId="0" xfId="48" applyNumberFormat="1" applyFont="1" applyFill="1" applyAlignment="1">
      <alignment horizontal="center"/>
      <protection/>
    </xf>
    <xf numFmtId="49" fontId="4" fillId="0" borderId="0" xfId="48" applyNumberFormat="1" applyFont="1" applyFill="1" applyAlignment="1">
      <alignment horizontal="center"/>
      <protection/>
    </xf>
    <xf numFmtId="0" fontId="5" fillId="0" borderId="0" xfId="48" applyFont="1" applyFill="1" applyAlignment="1">
      <alignment horizontal="center"/>
      <protection/>
    </xf>
    <xf numFmtId="0" fontId="4" fillId="0" borderId="0" xfId="48" applyFont="1" applyFill="1" applyAlignment="1">
      <alignment horizontal="center"/>
      <protection/>
    </xf>
    <xf numFmtId="0" fontId="3" fillId="0" borderId="0" xfId="48" applyFont="1" applyFill="1" applyBorder="1" applyAlignment="1">
      <alignment horizontal="center" vertical="center"/>
      <protection/>
    </xf>
    <xf numFmtId="0" fontId="48" fillId="0" borderId="0" xfId="48" applyFont="1" applyFill="1" applyBorder="1" applyAlignment="1">
      <alignment horizontal="center" vertical="center"/>
      <protection/>
    </xf>
    <xf numFmtId="169" fontId="1" fillId="33" borderId="21" xfId="64" applyNumberFormat="1" applyFont="1" applyFill="1" applyBorder="1" applyAlignment="1">
      <alignment horizontal="center"/>
    </xf>
    <xf numFmtId="169" fontId="1" fillId="33" borderId="14" xfId="64" applyNumberFormat="1" applyFont="1" applyFill="1" applyBorder="1" applyAlignment="1">
      <alignment horizontal="center"/>
    </xf>
    <xf numFmtId="169" fontId="45" fillId="0" borderId="0" xfId="48" applyNumberFormat="1" applyFont="1" applyFill="1" applyAlignment="1">
      <alignment wrapText="1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581025</xdr:colOff>
      <xdr:row>1</xdr:row>
      <xdr:rowOff>9525</xdr:rowOff>
    </xdr:from>
    <xdr:to>
      <xdr:col>3</xdr:col>
      <xdr:colOff>1162050</xdr:colOff>
      <xdr:row>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152400"/>
          <a:ext cx="581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619125</xdr:colOff>
      <xdr:row>127</xdr:row>
      <xdr:rowOff>9525</xdr:rowOff>
    </xdr:from>
    <xdr:to>
      <xdr:col>3</xdr:col>
      <xdr:colOff>1143000</xdr:colOff>
      <xdr:row>129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9625" y="25269825"/>
          <a:ext cx="523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-%20DREFI\13-%20DIVERSOS\EXCEL\2015\Anexos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1 - Balanço Orçamentário"/>
      <sheetName val="Anexo 2 - Função e Subfunção"/>
      <sheetName val="Anexo 4 - RPPS"/>
      <sheetName val="Anexo 5 - Resultado Nominal"/>
      <sheetName val="Anexo 6 - Primário Estados"/>
      <sheetName val="Anexo 7 - RP Poder e Órgão"/>
      <sheetName val="Anexo 8 - MDE - Estados"/>
      <sheetName val="Anexo 12 - Saúde (Estados)"/>
      <sheetName val="Anexo 14 - Simplificad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Q246"/>
  <sheetViews>
    <sheetView showGridLines="0" tabSelected="1" zoomScale="55" zoomScaleNormal="55" zoomScaleSheetLayoutView="70" workbookViewId="0" topLeftCell="A211">
      <selection activeCell="G95" sqref="G95:H95"/>
    </sheetView>
  </sheetViews>
  <sheetFormatPr defaultColWidth="9.140625" defaultRowHeight="11.25" customHeight="1"/>
  <cols>
    <col min="1" max="1" width="80.00390625" style="2" customWidth="1"/>
    <col min="2" max="2" width="17.8515625" style="2" customWidth="1"/>
    <col min="3" max="3" width="19.28125" style="2" customWidth="1"/>
    <col min="4" max="4" width="18.7109375" style="2" customWidth="1"/>
    <col min="5" max="5" width="19.00390625" style="2" customWidth="1"/>
    <col min="6" max="6" width="18.8515625" style="2" customWidth="1"/>
    <col min="7" max="7" width="18.7109375" style="2" customWidth="1"/>
    <col min="8" max="8" width="10.421875" style="2" customWidth="1"/>
    <col min="9" max="9" width="12.00390625" style="2" bestFit="1" customWidth="1"/>
    <col min="10" max="10" width="18.7109375" style="2" customWidth="1"/>
    <col min="11" max="11" width="6.421875" style="2" customWidth="1"/>
    <col min="12" max="12" width="23.140625" style="2" bestFit="1" customWidth="1"/>
    <col min="13" max="13" width="5.00390625" style="2" customWidth="1"/>
    <col min="14" max="14" width="18.57421875" style="2" customWidth="1"/>
    <col min="15" max="15" width="6.57421875" style="2" customWidth="1"/>
    <col min="16" max="16" width="16.421875" style="2" customWidth="1"/>
    <col min="17" max="17" width="15.421875" style="2" customWidth="1"/>
    <col min="18" max="18" width="22.00390625" style="2" customWidth="1"/>
    <col min="19" max="19" width="13.421875" style="2" customWidth="1"/>
    <col min="20" max="16384" width="9.140625" style="2" customWidth="1"/>
  </cols>
  <sheetData>
    <row r="4" ht="15.75">
      <c r="A4" s="1"/>
    </row>
    <row r="5" s="3" customFormat="1" ht="11.25" customHeight="1">
      <c r="A5" s="1"/>
    </row>
    <row r="6" spans="1:12" s="4" customFormat="1" ht="15.75" customHeight="1">
      <c r="A6" s="242" t="s">
        <v>27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</row>
    <row r="7" spans="1:12" s="4" customFormat="1" ht="15.75" customHeight="1">
      <c r="A7" s="243" t="s">
        <v>0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</row>
    <row r="8" spans="1:12" s="4" customFormat="1" ht="15.75" customHeight="1">
      <c r="A8" s="244" t="s">
        <v>1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</row>
    <row r="9" spans="1:12" s="4" customFormat="1" ht="15.75" customHeight="1">
      <c r="A9" s="245" t="s">
        <v>2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</row>
    <row r="10" spans="1:12" s="4" customFormat="1" ht="16.5">
      <c r="A10" s="243" t="s">
        <v>148</v>
      </c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</row>
    <row r="11" spans="1:12" s="4" customFormat="1" ht="16.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s="3" customFormat="1" ht="15.75">
      <c r="A12" s="6"/>
      <c r="B12" s="6"/>
      <c r="C12" s="6"/>
      <c r="D12" s="6"/>
      <c r="E12" s="6"/>
      <c r="F12" s="6"/>
      <c r="G12" s="6"/>
      <c r="H12" s="6"/>
      <c r="I12" s="7"/>
      <c r="J12" s="7"/>
      <c r="K12" s="7"/>
      <c r="L12" s="128" t="s">
        <v>149</v>
      </c>
    </row>
    <row r="13" spans="1:12" s="3" customFormat="1" ht="15.75">
      <c r="A13" s="8" t="s">
        <v>71</v>
      </c>
      <c r="B13" s="9"/>
      <c r="C13" s="10"/>
      <c r="D13" s="10"/>
      <c r="E13" s="11"/>
      <c r="F13" s="10"/>
      <c r="G13" s="10"/>
      <c r="H13" s="12"/>
      <c r="I13" s="7"/>
      <c r="J13" s="13"/>
      <c r="L13" s="13">
        <v>1</v>
      </c>
    </row>
    <row r="14" spans="1:12" s="3" customFormat="1" ht="20.25" customHeight="1">
      <c r="A14" s="202" t="s">
        <v>4</v>
      </c>
      <c r="B14" s="203"/>
      <c r="C14" s="192" t="s">
        <v>72</v>
      </c>
      <c r="D14" s="104" t="s">
        <v>87</v>
      </c>
      <c r="E14" s="195" t="s">
        <v>3</v>
      </c>
      <c r="F14" s="196"/>
      <c r="G14" s="196"/>
      <c r="H14" s="196"/>
      <c r="I14" s="197"/>
      <c r="J14" s="198" t="s">
        <v>73</v>
      </c>
      <c r="K14" s="212"/>
      <c r="L14" s="212"/>
    </row>
    <row r="15" spans="1:12" s="3" customFormat="1" ht="15.75" customHeight="1">
      <c r="A15" s="204"/>
      <c r="B15" s="205"/>
      <c r="C15" s="193"/>
      <c r="D15" s="105" t="s">
        <v>6</v>
      </c>
      <c r="E15" s="104" t="s">
        <v>7</v>
      </c>
      <c r="F15" s="106" t="s">
        <v>8</v>
      </c>
      <c r="G15" s="198" t="s">
        <v>9</v>
      </c>
      <c r="H15" s="199"/>
      <c r="I15" s="106" t="s">
        <v>8</v>
      </c>
      <c r="J15" s="200"/>
      <c r="K15" s="201"/>
      <c r="L15" s="201"/>
    </row>
    <row r="16" spans="1:12" s="3" customFormat="1" ht="16.5" customHeight="1">
      <c r="A16" s="206"/>
      <c r="B16" s="207"/>
      <c r="C16" s="194"/>
      <c r="D16" s="107" t="s">
        <v>10</v>
      </c>
      <c r="E16" s="107" t="s">
        <v>11</v>
      </c>
      <c r="F16" s="107" t="s">
        <v>12</v>
      </c>
      <c r="G16" s="183" t="s">
        <v>74</v>
      </c>
      <c r="H16" s="184"/>
      <c r="I16" s="107" t="s">
        <v>13</v>
      </c>
      <c r="J16" s="183" t="s">
        <v>14</v>
      </c>
      <c r="K16" s="185"/>
      <c r="L16" s="185"/>
    </row>
    <row r="17" spans="1:13" s="3" customFormat="1" ht="15.75" customHeight="1">
      <c r="A17" s="186" t="s">
        <v>75</v>
      </c>
      <c r="B17" s="187"/>
      <c r="C17" s="14">
        <f>C18+C58</f>
        <v>66863618940</v>
      </c>
      <c r="D17" s="15">
        <f>D18+D58</f>
        <v>60993767737.03</v>
      </c>
      <c r="E17" s="16">
        <f>E18+E58</f>
        <v>9006876460.82</v>
      </c>
      <c r="F17" s="17">
        <f>(E17/D17)*100</f>
        <v>14.766879953460924</v>
      </c>
      <c r="G17" s="188">
        <f>G18+G58</f>
        <v>49006130670.91</v>
      </c>
      <c r="H17" s="189"/>
      <c r="I17" s="17">
        <f>(G17/D17)*100</f>
        <v>80.34612795555805</v>
      </c>
      <c r="J17" s="190">
        <f>D17-G17</f>
        <v>11987637066.119995</v>
      </c>
      <c r="K17" s="191"/>
      <c r="L17" s="191"/>
      <c r="M17" s="18"/>
    </row>
    <row r="18" spans="1:13" s="3" customFormat="1" ht="15.75" customHeight="1">
      <c r="A18" s="177" t="s">
        <v>35</v>
      </c>
      <c r="B18" s="177"/>
      <c r="C18" s="19">
        <f>C19+C23+C28+C36+C37+C38+C44+C53</f>
        <v>61894184576</v>
      </c>
      <c r="D18" s="20">
        <f>D19+D23+D28+D36+D37+D38+D44+D53</f>
        <v>60272201258.03</v>
      </c>
      <c r="E18" s="16">
        <f>E19+E23+E28+E36+E37+E38+E44+E53</f>
        <v>8954461113.82</v>
      </c>
      <c r="F18" s="21">
        <f aca="true" t="shared" si="0" ref="F18:F43">(E18/D18)*100</f>
        <v>14.856701641748993</v>
      </c>
      <c r="G18" s="181">
        <f>G19+G23+G28+G36+G37+G38+G44+G53</f>
        <v>48807988087.91</v>
      </c>
      <c r="H18" s="182"/>
      <c r="I18" s="21">
        <f aca="true" t="shared" si="1" ref="I18:I32">(G18/D18)*100</f>
        <v>80.97926916416938</v>
      </c>
      <c r="J18" s="175">
        <f>D18-G18</f>
        <v>11464213170.119995</v>
      </c>
      <c r="K18" s="176"/>
      <c r="L18" s="176"/>
      <c r="M18" s="22"/>
    </row>
    <row r="19" spans="1:13" s="3" customFormat="1" ht="15.75" customHeight="1">
      <c r="A19" s="141" t="s">
        <v>142</v>
      </c>
      <c r="B19" s="141"/>
      <c r="C19" s="23">
        <f>C20+C21+C22</f>
        <v>36599557393</v>
      </c>
      <c r="D19" s="24">
        <f>D20+D21+D22</f>
        <v>35752984616</v>
      </c>
      <c r="E19" s="25">
        <f>E20+E21+E22</f>
        <v>5661545648</v>
      </c>
      <c r="F19" s="26">
        <f t="shared" si="0"/>
        <v>15.835169311896754</v>
      </c>
      <c r="G19" s="178">
        <f>G20+G21+H22</f>
        <v>29338869445</v>
      </c>
      <c r="H19" s="179" t="e">
        <f>G20+G21+#REF!</f>
        <v>#REF!</v>
      </c>
      <c r="I19" s="26">
        <f t="shared" si="1"/>
        <v>82.05991684361481</v>
      </c>
      <c r="J19" s="133">
        <f>D19-G19</f>
        <v>6414115171</v>
      </c>
      <c r="K19" s="134"/>
      <c r="L19" s="134"/>
      <c r="M19" s="22"/>
    </row>
    <row r="20" spans="1:12" s="3" customFormat="1" ht="15.75" customHeight="1">
      <c r="A20" s="141" t="s">
        <v>36</v>
      </c>
      <c r="B20" s="141"/>
      <c r="C20" s="23">
        <v>33797963410</v>
      </c>
      <c r="D20" s="24">
        <v>32679071712</v>
      </c>
      <c r="E20" s="25">
        <f>G20-21657539815</f>
        <v>5314049715</v>
      </c>
      <c r="F20" s="26">
        <f t="shared" si="0"/>
        <v>16.26132395018014</v>
      </c>
      <c r="G20" s="135">
        <v>26971589530</v>
      </c>
      <c r="H20" s="136"/>
      <c r="I20" s="26">
        <f t="shared" si="1"/>
        <v>82.53474813391296</v>
      </c>
      <c r="J20" s="133">
        <f aca="true" t="shared" si="2" ref="J20:J80">D20-G20</f>
        <v>5707482182</v>
      </c>
      <c r="K20" s="134"/>
      <c r="L20" s="134"/>
    </row>
    <row r="21" spans="1:12" s="3" customFormat="1" ht="15.75" customHeight="1">
      <c r="A21" s="141" t="s">
        <v>37</v>
      </c>
      <c r="B21" s="141"/>
      <c r="C21" s="23">
        <v>2801593983</v>
      </c>
      <c r="D21" s="24">
        <v>3073912904</v>
      </c>
      <c r="E21" s="25">
        <f>G21-2019783982</f>
        <v>347495933</v>
      </c>
      <c r="F21" s="26">
        <f t="shared" si="0"/>
        <v>11.304677258350845</v>
      </c>
      <c r="G21" s="135">
        <v>2367279915</v>
      </c>
      <c r="H21" s="136"/>
      <c r="I21" s="26">
        <f t="shared" si="1"/>
        <v>77.0119384944031</v>
      </c>
      <c r="J21" s="133">
        <f t="shared" si="2"/>
        <v>706632989</v>
      </c>
      <c r="K21" s="134"/>
      <c r="L21" s="134"/>
    </row>
    <row r="22" spans="1:12" s="3" customFormat="1" ht="15.75" customHeight="1">
      <c r="A22" s="180" t="s">
        <v>143</v>
      </c>
      <c r="B22" s="180"/>
      <c r="C22" s="23">
        <v>0</v>
      </c>
      <c r="D22" s="24">
        <v>0</v>
      </c>
      <c r="E22" s="25">
        <f>G22-0</f>
        <v>0</v>
      </c>
      <c r="F22" s="26">
        <v>0</v>
      </c>
      <c r="G22" s="178">
        <v>0</v>
      </c>
      <c r="H22" s="179"/>
      <c r="I22" s="26">
        <v>0</v>
      </c>
      <c r="J22" s="133">
        <f t="shared" si="2"/>
        <v>0</v>
      </c>
      <c r="K22" s="134"/>
      <c r="L22" s="134"/>
    </row>
    <row r="23" spans="1:13" s="3" customFormat="1" ht="17.25" customHeight="1">
      <c r="A23" s="141" t="s">
        <v>38</v>
      </c>
      <c r="B23" s="141"/>
      <c r="C23" s="23">
        <f>C25+C24+C26+C27</f>
        <v>2521224266</v>
      </c>
      <c r="D23" s="24">
        <f>D25+D24+D26+D27</f>
        <v>2521224266</v>
      </c>
      <c r="E23" s="25">
        <f>E25+E24+E26+E27</f>
        <v>409482035</v>
      </c>
      <c r="F23" s="26">
        <f t="shared" si="0"/>
        <v>16.241396710402757</v>
      </c>
      <c r="G23" s="178">
        <f>SUM(G24:H27)</f>
        <v>2247666412</v>
      </c>
      <c r="H23" s="179"/>
      <c r="I23" s="26">
        <f t="shared" si="1"/>
        <v>89.14980084520573</v>
      </c>
      <c r="J23" s="133">
        <f t="shared" si="2"/>
        <v>273557854</v>
      </c>
      <c r="K23" s="134"/>
      <c r="L23" s="134"/>
      <c r="M23" s="22"/>
    </row>
    <row r="24" spans="1:12" s="3" customFormat="1" ht="15.75" customHeight="1">
      <c r="A24" s="141" t="s">
        <v>39</v>
      </c>
      <c r="B24" s="141"/>
      <c r="C24" s="23">
        <v>2521224266</v>
      </c>
      <c r="D24" s="24">
        <v>2521224266</v>
      </c>
      <c r="E24" s="25">
        <f>G24-1838184377</f>
        <v>409482035</v>
      </c>
      <c r="F24" s="26">
        <f>(E24/D24)*100</f>
        <v>16.241396710402757</v>
      </c>
      <c r="G24" s="135">
        <v>2247666412</v>
      </c>
      <c r="H24" s="136"/>
      <c r="I24" s="26">
        <f t="shared" si="1"/>
        <v>89.14980084520573</v>
      </c>
      <c r="J24" s="133">
        <f t="shared" si="2"/>
        <v>273557854</v>
      </c>
      <c r="K24" s="134"/>
      <c r="L24" s="134"/>
    </row>
    <row r="25" spans="1:12" s="3" customFormat="1" ht="15.75" customHeight="1">
      <c r="A25" s="141" t="s">
        <v>100</v>
      </c>
      <c r="B25" s="141"/>
      <c r="C25" s="23">
        <v>0</v>
      </c>
      <c r="D25" s="24">
        <v>0</v>
      </c>
      <c r="E25" s="25">
        <f>G25-0</f>
        <v>0</v>
      </c>
      <c r="F25" s="26">
        <v>0</v>
      </c>
      <c r="G25" s="178">
        <v>0</v>
      </c>
      <c r="H25" s="179"/>
      <c r="I25" s="26">
        <v>0</v>
      </c>
      <c r="J25" s="133">
        <f t="shared" si="2"/>
        <v>0</v>
      </c>
      <c r="K25" s="134"/>
      <c r="L25" s="134"/>
    </row>
    <row r="26" spans="1:12" s="3" customFormat="1" ht="15.75" customHeight="1">
      <c r="A26" s="141" t="s">
        <v>118</v>
      </c>
      <c r="B26" s="141"/>
      <c r="C26" s="23">
        <v>0</v>
      </c>
      <c r="D26" s="24">
        <v>0</v>
      </c>
      <c r="E26" s="25">
        <f>G26-0</f>
        <v>0</v>
      </c>
      <c r="F26" s="26">
        <v>0</v>
      </c>
      <c r="G26" s="178">
        <v>0</v>
      </c>
      <c r="H26" s="179"/>
      <c r="I26" s="26">
        <v>0</v>
      </c>
      <c r="J26" s="137">
        <f t="shared" si="2"/>
        <v>0</v>
      </c>
      <c r="K26" s="138"/>
      <c r="L26" s="138"/>
    </row>
    <row r="27" spans="1:12" s="3" customFormat="1" ht="15.75" customHeight="1">
      <c r="A27" s="141" t="s">
        <v>119</v>
      </c>
      <c r="B27" s="141"/>
      <c r="C27" s="23">
        <v>0</v>
      </c>
      <c r="D27" s="24">
        <v>0</v>
      </c>
      <c r="E27" s="25">
        <f>G27-0</f>
        <v>0</v>
      </c>
      <c r="F27" s="26">
        <v>0</v>
      </c>
      <c r="G27" s="178">
        <v>0</v>
      </c>
      <c r="H27" s="179"/>
      <c r="I27" s="26">
        <v>0</v>
      </c>
      <c r="J27" s="137">
        <f t="shared" si="2"/>
        <v>0</v>
      </c>
      <c r="K27" s="138"/>
      <c r="L27" s="138"/>
    </row>
    <row r="28" spans="1:13" s="3" customFormat="1" ht="15.75" customHeight="1">
      <c r="A28" s="141" t="s">
        <v>40</v>
      </c>
      <c r="B28" s="141"/>
      <c r="C28" s="23">
        <f>SUM(C29:C35)</f>
        <v>14507628645</v>
      </c>
      <c r="D28" s="24">
        <f>SUM(D29:D35)</f>
        <v>14068942370</v>
      </c>
      <c r="E28" s="25">
        <f>SUM(E29:E35)</f>
        <v>1537126319</v>
      </c>
      <c r="F28" s="26">
        <f t="shared" si="0"/>
        <v>10.925670733272042</v>
      </c>
      <c r="G28" s="178">
        <f>SUM(G29:H35)</f>
        <v>10909680141</v>
      </c>
      <c r="H28" s="179">
        <f>SUM(H29:H35)</f>
        <v>0</v>
      </c>
      <c r="I28" s="26">
        <f t="shared" si="1"/>
        <v>77.54442270133487</v>
      </c>
      <c r="J28" s="133">
        <f t="shared" si="2"/>
        <v>3159262229</v>
      </c>
      <c r="K28" s="134"/>
      <c r="L28" s="134"/>
      <c r="M28" s="27"/>
    </row>
    <row r="29" spans="1:12" s="3" customFormat="1" ht="15.75" customHeight="1">
      <c r="A29" s="141" t="s">
        <v>120</v>
      </c>
      <c r="B29" s="141"/>
      <c r="C29" s="23">
        <v>91369330</v>
      </c>
      <c r="D29" s="24">
        <v>93735503</v>
      </c>
      <c r="E29" s="25">
        <f>G29-50392820</f>
        <v>11259915</v>
      </c>
      <c r="F29" s="26">
        <f t="shared" si="0"/>
        <v>12.012433538656106</v>
      </c>
      <c r="G29" s="135">
        <v>61652735</v>
      </c>
      <c r="H29" s="136"/>
      <c r="I29" s="26">
        <f t="shared" si="1"/>
        <v>65.7730881328924</v>
      </c>
      <c r="J29" s="133">
        <f t="shared" si="2"/>
        <v>32082768</v>
      </c>
      <c r="K29" s="134"/>
      <c r="L29" s="134"/>
    </row>
    <row r="30" spans="1:12" s="3" customFormat="1" ht="15.75" customHeight="1">
      <c r="A30" s="141" t="s">
        <v>121</v>
      </c>
      <c r="B30" s="141"/>
      <c r="C30" s="23">
        <v>279225660</v>
      </c>
      <c r="D30" s="24">
        <v>654574032</v>
      </c>
      <c r="E30" s="25">
        <f>G30-291675653</f>
        <v>592365471</v>
      </c>
      <c r="F30" s="26">
        <f t="shared" si="0"/>
        <v>90.49632922193284</v>
      </c>
      <c r="G30" s="135">
        <v>884041124</v>
      </c>
      <c r="H30" s="136"/>
      <c r="I30" s="26">
        <f t="shared" si="1"/>
        <v>135.05594184646787</v>
      </c>
      <c r="J30" s="133">
        <f t="shared" si="2"/>
        <v>-229467092</v>
      </c>
      <c r="K30" s="134"/>
      <c r="L30" s="134"/>
    </row>
    <row r="31" spans="1:12" s="3" customFormat="1" ht="15.75" customHeight="1">
      <c r="A31" s="141" t="s">
        <v>124</v>
      </c>
      <c r="B31" s="141"/>
      <c r="C31" s="23">
        <v>30327910</v>
      </c>
      <c r="D31" s="24">
        <v>16820069</v>
      </c>
      <c r="E31" s="25">
        <f>G31-16063330</f>
        <v>5193636</v>
      </c>
      <c r="F31" s="26">
        <f t="shared" si="0"/>
        <v>30.87761411680297</v>
      </c>
      <c r="G31" s="135">
        <v>21256966</v>
      </c>
      <c r="H31" s="136"/>
      <c r="I31" s="26">
        <f t="shared" si="1"/>
        <v>126.37858976678396</v>
      </c>
      <c r="J31" s="133">
        <f t="shared" si="2"/>
        <v>-4436897</v>
      </c>
      <c r="K31" s="134"/>
      <c r="L31" s="134"/>
    </row>
    <row r="32" spans="1:12" s="3" customFormat="1" ht="15.75" customHeight="1">
      <c r="A32" s="141" t="s">
        <v>122</v>
      </c>
      <c r="B32" s="141"/>
      <c r="C32" s="23">
        <v>69696413</v>
      </c>
      <c r="D32" s="24">
        <v>67217802</v>
      </c>
      <c r="E32" s="25">
        <f>G32-43375398</f>
        <v>14322569</v>
      </c>
      <c r="F32" s="26">
        <f t="shared" si="0"/>
        <v>21.30770208761066</v>
      </c>
      <c r="G32" s="135">
        <v>57697967</v>
      </c>
      <c r="H32" s="136"/>
      <c r="I32" s="26">
        <f t="shared" si="1"/>
        <v>85.83733071188493</v>
      </c>
      <c r="J32" s="133">
        <f t="shared" si="2"/>
        <v>9519835</v>
      </c>
      <c r="K32" s="134"/>
      <c r="L32" s="134"/>
    </row>
    <row r="33" spans="1:12" s="3" customFormat="1" ht="15.75" customHeight="1">
      <c r="A33" s="141" t="s">
        <v>123</v>
      </c>
      <c r="B33" s="141"/>
      <c r="C33" s="23">
        <v>0</v>
      </c>
      <c r="D33" s="24">
        <v>0</v>
      </c>
      <c r="E33" s="25">
        <f>G33-0</f>
        <v>0</v>
      </c>
      <c r="F33" s="26">
        <v>0</v>
      </c>
      <c r="G33" s="135">
        <v>0</v>
      </c>
      <c r="H33" s="136"/>
      <c r="I33" s="26">
        <v>0</v>
      </c>
      <c r="J33" s="133">
        <f t="shared" si="2"/>
        <v>0</v>
      </c>
      <c r="K33" s="134"/>
      <c r="L33" s="134"/>
    </row>
    <row r="34" spans="1:12" s="3" customFormat="1" ht="15.75" customHeight="1">
      <c r="A34" s="141" t="s">
        <v>126</v>
      </c>
      <c r="B34" s="141"/>
      <c r="C34" s="23">
        <v>0</v>
      </c>
      <c r="D34" s="24">
        <v>0</v>
      </c>
      <c r="E34" s="25">
        <f>G34-0</f>
        <v>0</v>
      </c>
      <c r="F34" s="26">
        <v>0</v>
      </c>
      <c r="G34" s="135">
        <v>0</v>
      </c>
      <c r="H34" s="136"/>
      <c r="I34" s="26">
        <v>0</v>
      </c>
      <c r="J34" s="133">
        <f t="shared" si="2"/>
        <v>0</v>
      </c>
      <c r="K34" s="134"/>
      <c r="L34" s="134"/>
    </row>
    <row r="35" spans="1:12" s="3" customFormat="1" ht="15.75" customHeight="1">
      <c r="A35" s="141" t="s">
        <v>125</v>
      </c>
      <c r="B35" s="141"/>
      <c r="C35" s="23">
        <v>14037009332</v>
      </c>
      <c r="D35" s="24">
        <v>13236594964</v>
      </c>
      <c r="E35" s="25">
        <f>G35-8971046621</f>
        <v>913984728</v>
      </c>
      <c r="F35" s="26">
        <f t="shared" si="0"/>
        <v>6.90498372493677</v>
      </c>
      <c r="G35" s="135">
        <v>9885031349</v>
      </c>
      <c r="H35" s="136"/>
      <c r="I35" s="26">
        <f>(G35/D35)*100</f>
        <v>74.6795635575814</v>
      </c>
      <c r="J35" s="133">
        <f t="shared" si="2"/>
        <v>3351563615</v>
      </c>
      <c r="K35" s="134"/>
      <c r="L35" s="134"/>
    </row>
    <row r="36" spans="1:13" s="3" customFormat="1" ht="15.75" customHeight="1">
      <c r="A36" s="141" t="s">
        <v>41</v>
      </c>
      <c r="B36" s="141"/>
      <c r="C36" s="23">
        <v>323771</v>
      </c>
      <c r="D36" s="24">
        <v>323771</v>
      </c>
      <c r="E36" s="25">
        <f>G36-1728</f>
        <v>280</v>
      </c>
      <c r="F36" s="26">
        <f t="shared" si="0"/>
        <v>0.08648087691609194</v>
      </c>
      <c r="G36" s="135">
        <v>2008</v>
      </c>
      <c r="H36" s="136"/>
      <c r="I36" s="26">
        <f>(G36/D36)*100</f>
        <v>0.6201914315982593</v>
      </c>
      <c r="J36" s="133">
        <f t="shared" si="2"/>
        <v>321763</v>
      </c>
      <c r="K36" s="134"/>
      <c r="L36" s="134"/>
      <c r="M36" s="22"/>
    </row>
    <row r="37" spans="1:13" s="3" customFormat="1" ht="15.75" customHeight="1">
      <c r="A37" s="141" t="s">
        <v>42</v>
      </c>
      <c r="B37" s="141"/>
      <c r="C37" s="23">
        <v>145790608</v>
      </c>
      <c r="D37" s="24">
        <v>145790608</v>
      </c>
      <c r="E37" s="25">
        <f>G37-33154488</f>
        <v>128048</v>
      </c>
      <c r="F37" s="26">
        <f t="shared" si="0"/>
        <v>0.08783007476037138</v>
      </c>
      <c r="G37" s="135">
        <v>33282536</v>
      </c>
      <c r="H37" s="136"/>
      <c r="I37" s="26">
        <f>(G37/D37)*100</f>
        <v>22.82899869654155</v>
      </c>
      <c r="J37" s="133">
        <f t="shared" si="2"/>
        <v>112508072</v>
      </c>
      <c r="K37" s="134"/>
      <c r="L37" s="134"/>
      <c r="M37" s="22"/>
    </row>
    <row r="38" spans="1:13" s="3" customFormat="1" ht="15.75" customHeight="1">
      <c r="A38" s="141" t="s">
        <v>43</v>
      </c>
      <c r="B38" s="141"/>
      <c r="C38" s="23">
        <f>SUM(C39:C43)</f>
        <v>356732334</v>
      </c>
      <c r="D38" s="24">
        <f>SUM(D39:D43)</f>
        <v>359595670.03</v>
      </c>
      <c r="E38" s="25">
        <f>SUM(E39:E43)</f>
        <v>58355403.16</v>
      </c>
      <c r="F38" s="26">
        <f t="shared" si="0"/>
        <v>16.22806057568257</v>
      </c>
      <c r="G38" s="178">
        <f>SUM(G39:H43)</f>
        <v>278771914.19</v>
      </c>
      <c r="H38" s="179"/>
      <c r="I38" s="26">
        <f aca="true" t="shared" si="3" ref="I38:I69">(G38/D38)*100</f>
        <v>77.52371272066287</v>
      </c>
      <c r="J38" s="133">
        <f t="shared" si="2"/>
        <v>80823755.83999997</v>
      </c>
      <c r="K38" s="134"/>
      <c r="L38" s="134"/>
      <c r="M38" s="22"/>
    </row>
    <row r="39" spans="1:12" s="3" customFormat="1" ht="15.75" customHeight="1">
      <c r="A39" s="141" t="s">
        <v>113</v>
      </c>
      <c r="B39" s="141"/>
      <c r="C39" s="23">
        <v>208261123</v>
      </c>
      <c r="D39" s="24">
        <v>208261123</v>
      </c>
      <c r="E39" s="25">
        <f>G39-140913032</f>
        <v>41175069</v>
      </c>
      <c r="F39" s="26">
        <f t="shared" si="0"/>
        <v>19.770885898853045</v>
      </c>
      <c r="G39" s="135">
        <v>182088101</v>
      </c>
      <c r="H39" s="136"/>
      <c r="I39" s="26">
        <f t="shared" si="3"/>
        <v>87.43259345624483</v>
      </c>
      <c r="J39" s="133">
        <f t="shared" si="2"/>
        <v>26173022</v>
      </c>
      <c r="K39" s="134"/>
      <c r="L39" s="134"/>
    </row>
    <row r="40" spans="1:12" s="3" customFormat="1" ht="15.75" customHeight="1">
      <c r="A40" s="141" t="s">
        <v>114</v>
      </c>
      <c r="B40" s="141"/>
      <c r="C40" s="23">
        <v>47311792</v>
      </c>
      <c r="D40" s="24">
        <v>47311792</v>
      </c>
      <c r="E40" s="25">
        <f>G40-18107987.61</f>
        <v>1783255.5600000024</v>
      </c>
      <c r="F40" s="26">
        <f t="shared" si="0"/>
        <v>3.7691566618317953</v>
      </c>
      <c r="G40" s="135">
        <v>19891243.17</v>
      </c>
      <c r="H40" s="136"/>
      <c r="I40" s="26">
        <f t="shared" si="3"/>
        <v>42.042886834639454</v>
      </c>
      <c r="J40" s="137">
        <f t="shared" si="2"/>
        <v>27420548.83</v>
      </c>
      <c r="K40" s="138"/>
      <c r="L40" s="138"/>
    </row>
    <row r="41" spans="1:12" s="3" customFormat="1" ht="15.75" customHeight="1">
      <c r="A41" s="141" t="s">
        <v>115</v>
      </c>
      <c r="B41" s="141"/>
      <c r="C41" s="23">
        <v>55662933</v>
      </c>
      <c r="D41" s="24">
        <v>55662933</v>
      </c>
      <c r="E41" s="25">
        <f>G41-43136116</f>
        <v>10930907.68</v>
      </c>
      <c r="F41" s="26">
        <f t="shared" si="0"/>
        <v>19.63767823732896</v>
      </c>
      <c r="G41" s="135">
        <v>54067023.68</v>
      </c>
      <c r="H41" s="136"/>
      <c r="I41" s="26">
        <f t="shared" si="3"/>
        <v>97.13290472853811</v>
      </c>
      <c r="J41" s="137">
        <f t="shared" si="2"/>
        <v>1595909.3200000003</v>
      </c>
      <c r="K41" s="138"/>
      <c r="L41" s="138"/>
    </row>
    <row r="42" spans="1:12" s="3" customFormat="1" ht="15.75" customHeight="1">
      <c r="A42" s="141" t="s">
        <v>116</v>
      </c>
      <c r="B42" s="141"/>
      <c r="C42" s="23">
        <v>31127655</v>
      </c>
      <c r="D42" s="24">
        <v>33990991.03</v>
      </c>
      <c r="E42" s="25">
        <f>G42-9035914.22</f>
        <v>1464573.2599999998</v>
      </c>
      <c r="F42" s="26">
        <f t="shared" si="0"/>
        <v>4.3087100894098285</v>
      </c>
      <c r="G42" s="135">
        <v>10500487.48</v>
      </c>
      <c r="H42" s="136"/>
      <c r="I42" s="26">
        <f t="shared" si="3"/>
        <v>30.891972142655117</v>
      </c>
      <c r="J42" s="137">
        <f t="shared" si="2"/>
        <v>23490503.55</v>
      </c>
      <c r="K42" s="138"/>
      <c r="L42" s="138"/>
    </row>
    <row r="43" spans="1:12" s="3" customFormat="1" ht="15.75" customHeight="1">
      <c r="A43" s="141" t="s">
        <v>117</v>
      </c>
      <c r="B43" s="141"/>
      <c r="C43" s="23">
        <v>14368831</v>
      </c>
      <c r="D43" s="24">
        <v>14368831</v>
      </c>
      <c r="E43" s="25">
        <f>G43-9223461.2</f>
        <v>3001597.66</v>
      </c>
      <c r="F43" s="26">
        <f t="shared" si="0"/>
        <v>20.88964411927456</v>
      </c>
      <c r="G43" s="135">
        <v>12225058.86</v>
      </c>
      <c r="H43" s="136"/>
      <c r="I43" s="26">
        <f t="shared" si="3"/>
        <v>85.08039979035176</v>
      </c>
      <c r="J43" s="137">
        <f t="shared" si="2"/>
        <v>2143772.1400000006</v>
      </c>
      <c r="K43" s="138"/>
      <c r="L43" s="138"/>
    </row>
    <row r="44" spans="1:13" s="3" customFormat="1" ht="15.75" customHeight="1">
      <c r="A44" s="141" t="s">
        <v>44</v>
      </c>
      <c r="B44" s="141"/>
      <c r="C44" s="23">
        <f>SUM(C45:C52)</f>
        <v>6539477044</v>
      </c>
      <c r="D44" s="24">
        <f>SUM(D45:D52)</f>
        <v>6189467972</v>
      </c>
      <c r="E44" s="25">
        <f>SUM(E45:E52)</f>
        <v>946461211.66</v>
      </c>
      <c r="F44" s="26">
        <f aca="true" t="shared" si="4" ref="F44:F82">(E44/D44)*100</f>
        <v>15.291479266741732</v>
      </c>
      <c r="G44" s="178">
        <f>SUM(G45:H52)</f>
        <v>4780247660.72</v>
      </c>
      <c r="H44" s="179">
        <f>SUM(H45:H49)</f>
        <v>0</v>
      </c>
      <c r="I44" s="26">
        <f t="shared" si="3"/>
        <v>77.2319637543154</v>
      </c>
      <c r="J44" s="133">
        <f t="shared" si="2"/>
        <v>1409220311.2799997</v>
      </c>
      <c r="K44" s="134"/>
      <c r="L44" s="134"/>
      <c r="M44" s="22"/>
    </row>
    <row r="45" spans="1:12" s="3" customFormat="1" ht="15.75" customHeight="1">
      <c r="A45" s="141" t="s">
        <v>108</v>
      </c>
      <c r="B45" s="141"/>
      <c r="C45" s="23">
        <v>3699996205</v>
      </c>
      <c r="D45" s="24">
        <v>3349987133</v>
      </c>
      <c r="E45" s="25">
        <f>G45-1990959284</f>
        <v>492716787</v>
      </c>
      <c r="F45" s="26">
        <f t="shared" si="4"/>
        <v>14.708020283014026</v>
      </c>
      <c r="G45" s="135">
        <v>2483676071</v>
      </c>
      <c r="H45" s="136"/>
      <c r="I45" s="26">
        <f t="shared" si="3"/>
        <v>74.13986897244598</v>
      </c>
      <c r="J45" s="133">
        <f t="shared" si="2"/>
        <v>866311062</v>
      </c>
      <c r="K45" s="134"/>
      <c r="L45" s="134"/>
    </row>
    <row r="46" spans="1:12" s="3" customFormat="1" ht="15.75" customHeight="1">
      <c r="A46" s="141" t="s">
        <v>109</v>
      </c>
      <c r="B46" s="141"/>
      <c r="C46" s="23">
        <v>744124</v>
      </c>
      <c r="D46" s="24">
        <v>744124</v>
      </c>
      <c r="E46" s="25">
        <f>G46-6223</f>
        <v>10510646</v>
      </c>
      <c r="F46" s="26">
        <f t="shared" si="4"/>
        <v>1412.4858222554305</v>
      </c>
      <c r="G46" s="135">
        <v>10516869</v>
      </c>
      <c r="H46" s="136"/>
      <c r="I46" s="26">
        <f t="shared" si="3"/>
        <v>1413.3221076057216</v>
      </c>
      <c r="J46" s="133">
        <f t="shared" si="2"/>
        <v>-9772745</v>
      </c>
      <c r="K46" s="134"/>
      <c r="L46" s="134"/>
    </row>
    <row r="47" spans="1:12" s="3" customFormat="1" ht="15.75" customHeight="1">
      <c r="A47" s="141" t="s">
        <v>110</v>
      </c>
      <c r="B47" s="141"/>
      <c r="C47" s="23">
        <v>57168164</v>
      </c>
      <c r="D47" s="24">
        <v>57168164</v>
      </c>
      <c r="E47" s="25">
        <f>G47-26963981</f>
        <v>12373627</v>
      </c>
      <c r="F47" s="26">
        <f t="shared" si="4"/>
        <v>21.644261655840477</v>
      </c>
      <c r="G47" s="135">
        <v>39337608</v>
      </c>
      <c r="H47" s="136"/>
      <c r="I47" s="26">
        <f t="shared" si="3"/>
        <v>68.81033996473982</v>
      </c>
      <c r="J47" s="133">
        <f t="shared" si="2"/>
        <v>17830556</v>
      </c>
      <c r="K47" s="134"/>
      <c r="L47" s="134"/>
    </row>
    <row r="48" spans="1:12" s="3" customFormat="1" ht="15.75" customHeight="1">
      <c r="A48" s="141" t="s">
        <v>45</v>
      </c>
      <c r="B48" s="141"/>
      <c r="C48" s="23">
        <v>33696260</v>
      </c>
      <c r="D48" s="24">
        <v>33696260</v>
      </c>
      <c r="E48" s="25">
        <f>G48-10818267</f>
        <v>811600</v>
      </c>
      <c r="F48" s="26">
        <f t="shared" si="4"/>
        <v>2.408575907237183</v>
      </c>
      <c r="G48" s="135">
        <v>11629867</v>
      </c>
      <c r="H48" s="136"/>
      <c r="I48" s="26">
        <f t="shared" si="3"/>
        <v>34.513821415195636</v>
      </c>
      <c r="J48" s="133">
        <f t="shared" si="2"/>
        <v>22066393</v>
      </c>
      <c r="K48" s="134"/>
      <c r="L48" s="134"/>
    </row>
    <row r="49" spans="1:12" s="3" customFormat="1" ht="15.75" customHeight="1">
      <c r="A49" s="141" t="s">
        <v>91</v>
      </c>
      <c r="B49" s="141"/>
      <c r="C49" s="23">
        <v>2747869891</v>
      </c>
      <c r="D49" s="24">
        <v>2747869891</v>
      </c>
      <c r="E49" s="25">
        <f>G49-1804663915</f>
        <v>429726261</v>
      </c>
      <c r="F49" s="26">
        <f t="shared" si="4"/>
        <v>15.638522857558396</v>
      </c>
      <c r="G49" s="135">
        <v>2234390176</v>
      </c>
      <c r="H49" s="136"/>
      <c r="I49" s="26">
        <f t="shared" si="3"/>
        <v>81.31353610730328</v>
      </c>
      <c r="J49" s="133">
        <f t="shared" si="2"/>
        <v>513479715</v>
      </c>
      <c r="K49" s="134"/>
      <c r="L49" s="134"/>
    </row>
    <row r="50" spans="1:12" s="3" customFormat="1" ht="15.75" customHeight="1">
      <c r="A50" s="141" t="s">
        <v>46</v>
      </c>
      <c r="B50" s="141"/>
      <c r="C50" s="23">
        <v>0</v>
      </c>
      <c r="D50" s="24">
        <v>0</v>
      </c>
      <c r="E50" s="25">
        <f>G50-33344.5</f>
        <v>2336</v>
      </c>
      <c r="F50" s="26">
        <v>0</v>
      </c>
      <c r="G50" s="137">
        <v>35680.5</v>
      </c>
      <c r="H50" s="139"/>
      <c r="I50" s="26">
        <v>0</v>
      </c>
      <c r="J50" s="137">
        <f t="shared" si="2"/>
        <v>-35680.5</v>
      </c>
      <c r="K50" s="138"/>
      <c r="L50" s="138"/>
    </row>
    <row r="51" spans="1:12" s="3" customFormat="1" ht="15.75" customHeight="1">
      <c r="A51" s="141" t="s">
        <v>111</v>
      </c>
      <c r="B51" s="141"/>
      <c r="C51" s="23">
        <v>2400</v>
      </c>
      <c r="D51" s="24">
        <v>2400</v>
      </c>
      <c r="E51" s="25">
        <f>G51-341434.56</f>
        <v>319954.66</v>
      </c>
      <c r="F51" s="26">
        <f t="shared" si="4"/>
        <v>13331.444166666664</v>
      </c>
      <c r="G51" s="135">
        <v>661389.22</v>
      </c>
      <c r="H51" s="136"/>
      <c r="I51" s="26">
        <f>(G51/D51)*100</f>
        <v>27557.884166666667</v>
      </c>
      <c r="J51" s="137">
        <f t="shared" si="2"/>
        <v>-658989.22</v>
      </c>
      <c r="K51" s="138"/>
      <c r="L51" s="138"/>
    </row>
    <row r="52" spans="1:12" s="3" customFormat="1" ht="15.75" customHeight="1">
      <c r="A52" s="141" t="s">
        <v>112</v>
      </c>
      <c r="B52" s="141"/>
      <c r="C52" s="23">
        <v>0</v>
      </c>
      <c r="D52" s="24">
        <v>0</v>
      </c>
      <c r="E52" s="25">
        <f>G52-0</f>
        <v>0</v>
      </c>
      <c r="F52" s="26">
        <v>0</v>
      </c>
      <c r="G52" s="135">
        <v>0</v>
      </c>
      <c r="H52" s="136"/>
      <c r="I52" s="26">
        <v>0</v>
      </c>
      <c r="J52" s="137">
        <f t="shared" si="2"/>
        <v>0</v>
      </c>
      <c r="K52" s="138"/>
      <c r="L52" s="138"/>
    </row>
    <row r="53" spans="1:13" s="3" customFormat="1" ht="15.75" customHeight="1">
      <c r="A53" s="141" t="s">
        <v>47</v>
      </c>
      <c r="B53" s="141"/>
      <c r="C53" s="23">
        <f>SUM(C54:C57)</f>
        <v>1223450515</v>
      </c>
      <c r="D53" s="24">
        <f>SUM(D54:D57)</f>
        <v>1233871985</v>
      </c>
      <c r="E53" s="25">
        <f>SUM(E54:E57)</f>
        <v>341362169</v>
      </c>
      <c r="F53" s="26">
        <f t="shared" si="4"/>
        <v>27.66593075699016</v>
      </c>
      <c r="G53" s="137">
        <f>SUM(G54:H57)</f>
        <v>1219467971</v>
      </c>
      <c r="H53" s="139">
        <f>SUM(H54:H57)</f>
        <v>0</v>
      </c>
      <c r="I53" s="26">
        <f t="shared" si="3"/>
        <v>98.8326168212661</v>
      </c>
      <c r="J53" s="133">
        <f t="shared" si="2"/>
        <v>14404014</v>
      </c>
      <c r="K53" s="134"/>
      <c r="L53" s="134"/>
      <c r="M53" s="28"/>
    </row>
    <row r="54" spans="1:12" s="3" customFormat="1" ht="15.75" customHeight="1">
      <c r="A54" s="141" t="s">
        <v>104</v>
      </c>
      <c r="B54" s="141"/>
      <c r="C54" s="23">
        <v>302359721</v>
      </c>
      <c r="D54" s="24">
        <v>271855586</v>
      </c>
      <c r="E54" s="25">
        <f>G54-213852335</f>
        <v>102056185</v>
      </c>
      <c r="F54" s="26">
        <f t="shared" si="4"/>
        <v>37.54058781782766</v>
      </c>
      <c r="G54" s="137">
        <v>315908520</v>
      </c>
      <c r="H54" s="139"/>
      <c r="I54" s="26">
        <f t="shared" si="3"/>
        <v>116.20453515345459</v>
      </c>
      <c r="J54" s="133">
        <f t="shared" si="2"/>
        <v>-44052934</v>
      </c>
      <c r="K54" s="134"/>
      <c r="L54" s="134"/>
    </row>
    <row r="55" spans="1:12" s="3" customFormat="1" ht="15.75" customHeight="1">
      <c r="A55" s="141" t="s">
        <v>105</v>
      </c>
      <c r="B55" s="141"/>
      <c r="C55" s="23">
        <v>229037215</v>
      </c>
      <c r="D55" s="24">
        <v>153532556</v>
      </c>
      <c r="E55" s="25">
        <f>G55-95532093</f>
        <v>96881877</v>
      </c>
      <c r="F55" s="26">
        <f t="shared" si="4"/>
        <v>63.10184596939818</v>
      </c>
      <c r="G55" s="137">
        <v>192413970</v>
      </c>
      <c r="H55" s="139"/>
      <c r="I55" s="26">
        <f t="shared" si="3"/>
        <v>125.32454028838028</v>
      </c>
      <c r="J55" s="133">
        <f t="shared" si="2"/>
        <v>-38881414</v>
      </c>
      <c r="K55" s="134"/>
      <c r="L55" s="134"/>
    </row>
    <row r="56" spans="1:12" s="3" customFormat="1" ht="15.75" customHeight="1">
      <c r="A56" s="141" t="s">
        <v>106</v>
      </c>
      <c r="B56" s="141"/>
      <c r="C56" s="23">
        <v>35000</v>
      </c>
      <c r="D56" s="29">
        <v>35000</v>
      </c>
      <c r="E56" s="25">
        <f>G56-67912</f>
        <v>3348</v>
      </c>
      <c r="F56" s="26">
        <f t="shared" si="4"/>
        <v>9.565714285714286</v>
      </c>
      <c r="G56" s="137">
        <v>71260</v>
      </c>
      <c r="H56" s="139"/>
      <c r="I56" s="26">
        <f t="shared" si="3"/>
        <v>203.6</v>
      </c>
      <c r="J56" s="133">
        <f t="shared" si="2"/>
        <v>-36260</v>
      </c>
      <c r="K56" s="134"/>
      <c r="L56" s="134"/>
    </row>
    <row r="57" spans="1:12" s="3" customFormat="1" ht="15.75" customHeight="1">
      <c r="A57" s="141" t="s">
        <v>107</v>
      </c>
      <c r="B57" s="141"/>
      <c r="C57" s="23">
        <v>692018579</v>
      </c>
      <c r="D57" s="23">
        <v>808448843</v>
      </c>
      <c r="E57" s="25">
        <f>G57-568653462</f>
        <v>142420759</v>
      </c>
      <c r="F57" s="26">
        <f t="shared" si="4"/>
        <v>17.616545590133274</v>
      </c>
      <c r="G57" s="137">
        <v>711074221</v>
      </c>
      <c r="H57" s="139"/>
      <c r="I57" s="26">
        <f t="shared" si="3"/>
        <v>87.95537616967064</v>
      </c>
      <c r="J57" s="133">
        <f t="shared" si="2"/>
        <v>97374622</v>
      </c>
      <c r="K57" s="134"/>
      <c r="L57" s="134"/>
    </row>
    <row r="58" spans="1:13" s="3" customFormat="1" ht="15.75" customHeight="1">
      <c r="A58" s="177" t="s">
        <v>48</v>
      </c>
      <c r="B58" s="177"/>
      <c r="C58" s="19">
        <f>C59+C62+C66+C67+C76</f>
        <v>4969434364</v>
      </c>
      <c r="D58" s="20">
        <f>D59+D62+D66+D67+D76</f>
        <v>721566479</v>
      </c>
      <c r="E58" s="16">
        <f>E59+E62+E66+E67+E76</f>
        <v>52415347</v>
      </c>
      <c r="F58" s="21">
        <f t="shared" si="4"/>
        <v>7.264105044436245</v>
      </c>
      <c r="G58" s="167">
        <f>G59+G62+G66+G67+G76</f>
        <v>198142583</v>
      </c>
      <c r="H58" s="168"/>
      <c r="I58" s="21">
        <f t="shared" si="3"/>
        <v>27.460059296906447</v>
      </c>
      <c r="J58" s="175">
        <f t="shared" si="2"/>
        <v>523423896</v>
      </c>
      <c r="K58" s="176"/>
      <c r="L58" s="176"/>
      <c r="M58" s="18"/>
    </row>
    <row r="59" spans="1:13" s="3" customFormat="1" ht="15.75" customHeight="1">
      <c r="A59" s="141" t="s">
        <v>49</v>
      </c>
      <c r="B59" s="141"/>
      <c r="C59" s="23">
        <f>C60+C61</f>
        <v>4370413472</v>
      </c>
      <c r="D59" s="24">
        <f>D60+D61</f>
        <v>122545588</v>
      </c>
      <c r="E59" s="25">
        <f>E60+E61</f>
        <v>10105384</v>
      </c>
      <c r="F59" s="26">
        <f t="shared" si="4"/>
        <v>8.246224254111866</v>
      </c>
      <c r="G59" s="137">
        <f>G60+G61</f>
        <v>37831807</v>
      </c>
      <c r="H59" s="139"/>
      <c r="I59" s="26">
        <f t="shared" si="3"/>
        <v>30.871618976604854</v>
      </c>
      <c r="J59" s="133">
        <f t="shared" si="2"/>
        <v>84713781</v>
      </c>
      <c r="K59" s="134"/>
      <c r="L59" s="134"/>
      <c r="M59" s="28"/>
    </row>
    <row r="60" spans="1:12" s="3" customFormat="1" ht="15.75" customHeight="1">
      <c r="A60" s="141" t="s">
        <v>127</v>
      </c>
      <c r="B60" s="141"/>
      <c r="C60" s="23">
        <v>3907284452</v>
      </c>
      <c r="D60" s="24">
        <v>0</v>
      </c>
      <c r="E60" s="25">
        <f>G60-0</f>
        <v>0</v>
      </c>
      <c r="F60" s="26">
        <v>0</v>
      </c>
      <c r="G60" s="137">
        <v>0</v>
      </c>
      <c r="H60" s="139"/>
      <c r="I60" s="26">
        <v>0</v>
      </c>
      <c r="J60" s="133">
        <f t="shared" si="2"/>
        <v>0</v>
      </c>
      <c r="K60" s="134"/>
      <c r="L60" s="134"/>
    </row>
    <row r="61" spans="1:12" s="3" customFormat="1" ht="15.75" customHeight="1">
      <c r="A61" s="141" t="s">
        <v>128</v>
      </c>
      <c r="B61" s="141"/>
      <c r="C61" s="23">
        <v>463129020</v>
      </c>
      <c r="D61" s="24">
        <v>122545588</v>
      </c>
      <c r="E61" s="25">
        <f>G61-27726423</f>
        <v>10105384</v>
      </c>
      <c r="F61" s="26">
        <f t="shared" si="4"/>
        <v>8.246224254111866</v>
      </c>
      <c r="G61" s="137">
        <v>37831807</v>
      </c>
      <c r="H61" s="139"/>
      <c r="I61" s="26">
        <f t="shared" si="3"/>
        <v>30.871618976604854</v>
      </c>
      <c r="J61" s="133">
        <f t="shared" si="2"/>
        <v>84713781</v>
      </c>
      <c r="K61" s="134"/>
      <c r="L61" s="134"/>
    </row>
    <row r="62" spans="1:12" s="3" customFormat="1" ht="15.75" customHeight="1">
      <c r="A62" s="141" t="s">
        <v>50</v>
      </c>
      <c r="B62" s="141"/>
      <c r="C62" s="23">
        <f>C63+C64+C65</f>
        <v>150040749</v>
      </c>
      <c r="D62" s="24">
        <f>D63+D64+D65</f>
        <v>150040749</v>
      </c>
      <c r="E62" s="25">
        <f>E63+E64+E65</f>
        <v>1812281</v>
      </c>
      <c r="F62" s="26">
        <f t="shared" si="4"/>
        <v>1.2078592063013494</v>
      </c>
      <c r="G62" s="137">
        <f>SUM(G63:H65)</f>
        <v>5376261</v>
      </c>
      <c r="H62" s="139"/>
      <c r="I62" s="26">
        <f t="shared" si="3"/>
        <v>3.5832005877283377</v>
      </c>
      <c r="J62" s="133">
        <f t="shared" si="2"/>
        <v>144664488</v>
      </c>
      <c r="K62" s="134"/>
      <c r="L62" s="134"/>
    </row>
    <row r="63" spans="1:12" s="3" customFormat="1" ht="15.75" customHeight="1">
      <c r="A63" s="141" t="s">
        <v>51</v>
      </c>
      <c r="B63" s="141"/>
      <c r="C63" s="23">
        <v>40749</v>
      </c>
      <c r="D63" s="24">
        <v>40749</v>
      </c>
      <c r="E63" s="25">
        <f>G63-93080</f>
        <v>255181</v>
      </c>
      <c r="F63" s="26">
        <f t="shared" si="4"/>
        <v>626.2264104640605</v>
      </c>
      <c r="G63" s="137">
        <v>348261</v>
      </c>
      <c r="H63" s="139"/>
      <c r="I63" s="26">
        <f t="shared" si="3"/>
        <v>854.6491938452479</v>
      </c>
      <c r="J63" s="133">
        <f t="shared" si="2"/>
        <v>-307512</v>
      </c>
      <c r="K63" s="134"/>
      <c r="L63" s="134"/>
    </row>
    <row r="64" spans="1:12" s="3" customFormat="1" ht="15.75" customHeight="1">
      <c r="A64" s="141" t="s">
        <v>52</v>
      </c>
      <c r="B64" s="141"/>
      <c r="C64" s="23">
        <v>150000000</v>
      </c>
      <c r="D64" s="24">
        <v>150000000</v>
      </c>
      <c r="E64" s="25">
        <f>G64-3470900</f>
        <v>1557100</v>
      </c>
      <c r="F64" s="26">
        <f t="shared" si="4"/>
        <v>1.0380666666666667</v>
      </c>
      <c r="G64" s="137">
        <v>5028000</v>
      </c>
      <c r="H64" s="139"/>
      <c r="I64" s="26">
        <f t="shared" si="3"/>
        <v>3.3520000000000003</v>
      </c>
      <c r="J64" s="133">
        <f t="shared" si="2"/>
        <v>144972000</v>
      </c>
      <c r="K64" s="134"/>
      <c r="L64" s="134"/>
    </row>
    <row r="65" spans="1:12" s="3" customFormat="1" ht="15.75" customHeight="1">
      <c r="A65" s="141" t="s">
        <v>129</v>
      </c>
      <c r="B65" s="141"/>
      <c r="C65" s="23">
        <v>0</v>
      </c>
      <c r="D65" s="24">
        <v>0</v>
      </c>
      <c r="E65" s="25">
        <f>G65</f>
        <v>0</v>
      </c>
      <c r="F65" s="26">
        <v>0</v>
      </c>
      <c r="G65" s="137">
        <v>0</v>
      </c>
      <c r="H65" s="139"/>
      <c r="I65" s="26">
        <v>0</v>
      </c>
      <c r="J65" s="137">
        <f t="shared" si="2"/>
        <v>0</v>
      </c>
      <c r="K65" s="138"/>
      <c r="L65" s="138"/>
    </row>
    <row r="66" spans="1:12" s="3" customFormat="1" ht="15.75" customHeight="1">
      <c r="A66" s="141" t="s">
        <v>53</v>
      </c>
      <c r="B66" s="141"/>
      <c r="C66" s="23">
        <v>89990159</v>
      </c>
      <c r="D66" s="24">
        <v>89990159</v>
      </c>
      <c r="E66" s="25">
        <f>G66-100599217</f>
        <v>37720671</v>
      </c>
      <c r="F66" s="26">
        <f t="shared" si="4"/>
        <v>41.91643999651117</v>
      </c>
      <c r="G66" s="137">
        <v>138319888</v>
      </c>
      <c r="H66" s="139"/>
      <c r="I66" s="26">
        <f>(G66/D66)*100</f>
        <v>153.70557129474568</v>
      </c>
      <c r="J66" s="133">
        <f t="shared" si="2"/>
        <v>-48329729</v>
      </c>
      <c r="K66" s="134"/>
      <c r="L66" s="134"/>
    </row>
    <row r="67" spans="1:12" s="3" customFormat="1" ht="15.75" customHeight="1">
      <c r="A67" s="141" t="s">
        <v>54</v>
      </c>
      <c r="B67" s="141"/>
      <c r="C67" s="23">
        <f>SUM(C68:C75)</f>
        <v>358989984</v>
      </c>
      <c r="D67" s="23">
        <f>SUM(D68:D75)</f>
        <v>358989983</v>
      </c>
      <c r="E67" s="25">
        <f>SUM(E68:E75)</f>
        <v>2777011</v>
      </c>
      <c r="F67" s="26">
        <f t="shared" si="4"/>
        <v>0.7735622528498239</v>
      </c>
      <c r="G67" s="137">
        <f>SUM(G68:G75)</f>
        <v>16614627</v>
      </c>
      <c r="H67" s="139">
        <f>SUM(H68:H75)</f>
        <v>0</v>
      </c>
      <c r="I67" s="26">
        <f t="shared" si="3"/>
        <v>4.628158942251043</v>
      </c>
      <c r="J67" s="133">
        <f t="shared" si="2"/>
        <v>342375356</v>
      </c>
      <c r="K67" s="134"/>
      <c r="L67" s="134"/>
    </row>
    <row r="68" spans="1:12" s="3" customFormat="1" ht="15.75" customHeight="1">
      <c r="A68" s="141" t="s">
        <v>108</v>
      </c>
      <c r="B68" s="141"/>
      <c r="C68" s="23">
        <v>298891792</v>
      </c>
      <c r="D68" s="24">
        <v>298891792</v>
      </c>
      <c r="E68" s="25">
        <f>G68-12729569</f>
        <v>2695815</v>
      </c>
      <c r="F68" s="26">
        <f t="shared" si="4"/>
        <v>0.9019367785114687</v>
      </c>
      <c r="G68" s="137">
        <v>15425384</v>
      </c>
      <c r="H68" s="139"/>
      <c r="I68" s="26">
        <f t="shared" si="3"/>
        <v>5.160859017500219</v>
      </c>
      <c r="J68" s="133">
        <f t="shared" si="2"/>
        <v>283466408</v>
      </c>
      <c r="K68" s="134"/>
      <c r="L68" s="134"/>
    </row>
    <row r="69" spans="1:12" s="3" customFormat="1" ht="15.75" customHeight="1">
      <c r="A69" s="141" t="s">
        <v>109</v>
      </c>
      <c r="B69" s="141"/>
      <c r="C69" s="23">
        <v>58478192</v>
      </c>
      <c r="D69" s="24">
        <v>58478191</v>
      </c>
      <c r="E69" s="25">
        <f>G69</f>
        <v>0</v>
      </c>
      <c r="F69" s="26">
        <f t="shared" si="4"/>
        <v>0</v>
      </c>
      <c r="G69" s="137">
        <v>0</v>
      </c>
      <c r="H69" s="139"/>
      <c r="I69" s="26">
        <f t="shared" si="3"/>
        <v>0</v>
      </c>
      <c r="J69" s="133">
        <f t="shared" si="2"/>
        <v>58478191</v>
      </c>
      <c r="K69" s="134"/>
      <c r="L69" s="134"/>
    </row>
    <row r="70" spans="1:12" s="3" customFormat="1" ht="15.75" customHeight="1">
      <c r="A70" s="141" t="s">
        <v>110</v>
      </c>
      <c r="B70" s="141"/>
      <c r="C70" s="23">
        <v>0</v>
      </c>
      <c r="D70" s="24">
        <v>0</v>
      </c>
      <c r="E70" s="25">
        <f>G70-15</f>
        <v>0</v>
      </c>
      <c r="F70" s="26">
        <v>0</v>
      </c>
      <c r="G70" s="137">
        <v>15</v>
      </c>
      <c r="H70" s="139"/>
      <c r="I70" s="26">
        <v>0</v>
      </c>
      <c r="J70" s="133">
        <f t="shared" si="2"/>
        <v>-15</v>
      </c>
      <c r="K70" s="134"/>
      <c r="L70" s="134"/>
    </row>
    <row r="71" spans="1:12" s="3" customFormat="1" ht="15.75" customHeight="1">
      <c r="A71" s="141" t="s">
        <v>45</v>
      </c>
      <c r="B71" s="141"/>
      <c r="C71" s="23">
        <v>0</v>
      </c>
      <c r="D71" s="24">
        <v>0</v>
      </c>
      <c r="E71" s="25">
        <f>G71-1108032</f>
        <v>81196</v>
      </c>
      <c r="F71" s="26">
        <v>0</v>
      </c>
      <c r="G71" s="137">
        <v>1189228</v>
      </c>
      <c r="H71" s="139"/>
      <c r="I71" s="26">
        <v>0</v>
      </c>
      <c r="J71" s="133">
        <f t="shared" si="2"/>
        <v>-1189228</v>
      </c>
      <c r="K71" s="134"/>
      <c r="L71" s="134"/>
    </row>
    <row r="72" spans="1:12" s="3" customFormat="1" ht="15.75" customHeight="1">
      <c r="A72" s="141" t="s">
        <v>91</v>
      </c>
      <c r="B72" s="141"/>
      <c r="C72" s="23">
        <v>0</v>
      </c>
      <c r="D72" s="24">
        <v>0</v>
      </c>
      <c r="E72" s="25">
        <f>G72</f>
        <v>0</v>
      </c>
      <c r="F72" s="26">
        <v>0</v>
      </c>
      <c r="G72" s="137">
        <v>0</v>
      </c>
      <c r="H72" s="139"/>
      <c r="I72" s="26">
        <v>0</v>
      </c>
      <c r="J72" s="133">
        <f t="shared" si="2"/>
        <v>0</v>
      </c>
      <c r="K72" s="134"/>
      <c r="L72" s="134"/>
    </row>
    <row r="73" spans="1:12" s="3" customFormat="1" ht="15.75" customHeight="1">
      <c r="A73" s="141" t="s">
        <v>46</v>
      </c>
      <c r="B73" s="141"/>
      <c r="C73" s="23">
        <v>0</v>
      </c>
      <c r="D73" s="24">
        <v>0</v>
      </c>
      <c r="E73" s="25">
        <f>G73</f>
        <v>0</v>
      </c>
      <c r="F73" s="26">
        <v>0</v>
      </c>
      <c r="G73" s="137">
        <v>0</v>
      </c>
      <c r="H73" s="139"/>
      <c r="I73" s="26">
        <v>0</v>
      </c>
      <c r="J73" s="133">
        <f t="shared" si="2"/>
        <v>0</v>
      </c>
      <c r="K73" s="134"/>
      <c r="L73" s="134"/>
    </row>
    <row r="74" spans="1:12" s="3" customFormat="1" ht="15.75" customHeight="1">
      <c r="A74" s="141" t="s">
        <v>111</v>
      </c>
      <c r="B74" s="141"/>
      <c r="C74" s="23">
        <v>1620000</v>
      </c>
      <c r="D74" s="24">
        <v>1620000</v>
      </c>
      <c r="E74" s="25">
        <f>G74</f>
        <v>0</v>
      </c>
      <c r="F74" s="26">
        <f t="shared" si="4"/>
        <v>0</v>
      </c>
      <c r="G74" s="137">
        <v>0</v>
      </c>
      <c r="H74" s="139"/>
      <c r="I74" s="26">
        <f>(G74/D74)*100</f>
        <v>0</v>
      </c>
      <c r="J74" s="137">
        <f t="shared" si="2"/>
        <v>1620000</v>
      </c>
      <c r="K74" s="138"/>
      <c r="L74" s="138"/>
    </row>
    <row r="75" spans="1:12" s="3" customFormat="1" ht="15.75" customHeight="1">
      <c r="A75" s="141" t="s">
        <v>112</v>
      </c>
      <c r="B75" s="141"/>
      <c r="C75" s="23">
        <v>0</v>
      </c>
      <c r="D75" s="24">
        <v>0</v>
      </c>
      <c r="E75" s="25">
        <f>G75</f>
        <v>0</v>
      </c>
      <c r="F75" s="26">
        <v>0</v>
      </c>
      <c r="G75" s="137">
        <v>0</v>
      </c>
      <c r="H75" s="139"/>
      <c r="I75" s="26">
        <v>0</v>
      </c>
      <c r="J75" s="137">
        <f t="shared" si="2"/>
        <v>0</v>
      </c>
      <c r="K75" s="138"/>
      <c r="L75" s="138"/>
    </row>
    <row r="76" spans="1:12" s="3" customFormat="1" ht="15.75" customHeight="1">
      <c r="A76" s="147" t="s">
        <v>55</v>
      </c>
      <c r="B76" s="141"/>
      <c r="C76" s="23">
        <f>SUM(C77:C80)</f>
        <v>0</v>
      </c>
      <c r="D76" s="24">
        <f>SUM(D77:D80)</f>
        <v>0</v>
      </c>
      <c r="E76" s="25">
        <f>SUM(E77:E80)</f>
        <v>0</v>
      </c>
      <c r="F76" s="26">
        <v>0</v>
      </c>
      <c r="G76" s="137">
        <f>SUM(G77:H80)</f>
        <v>0</v>
      </c>
      <c r="H76" s="139">
        <f>SUM(H78:H80)</f>
        <v>0</v>
      </c>
      <c r="I76" s="26">
        <v>0</v>
      </c>
      <c r="J76" s="133">
        <f t="shared" si="2"/>
        <v>0</v>
      </c>
      <c r="K76" s="134"/>
      <c r="L76" s="134"/>
    </row>
    <row r="77" spans="1:12" s="3" customFormat="1" ht="15.75" customHeight="1">
      <c r="A77" s="141" t="s">
        <v>130</v>
      </c>
      <c r="B77" s="141"/>
      <c r="C77" s="23">
        <v>0</v>
      </c>
      <c r="D77" s="24">
        <v>0</v>
      </c>
      <c r="E77" s="25">
        <f>G77</f>
        <v>0</v>
      </c>
      <c r="F77" s="26">
        <v>0</v>
      </c>
      <c r="G77" s="137">
        <v>0</v>
      </c>
      <c r="H77" s="139"/>
      <c r="I77" s="26">
        <v>0</v>
      </c>
      <c r="J77" s="133">
        <f t="shared" si="2"/>
        <v>0</v>
      </c>
      <c r="K77" s="134"/>
      <c r="L77" s="134"/>
    </row>
    <row r="78" spans="1:12" s="3" customFormat="1" ht="15.75" customHeight="1">
      <c r="A78" s="141" t="s">
        <v>131</v>
      </c>
      <c r="B78" s="141"/>
      <c r="C78" s="23">
        <v>0</v>
      </c>
      <c r="D78" s="24">
        <v>0</v>
      </c>
      <c r="E78" s="25">
        <f>G78</f>
        <v>0</v>
      </c>
      <c r="F78" s="26">
        <v>0</v>
      </c>
      <c r="G78" s="137">
        <v>0</v>
      </c>
      <c r="H78" s="139"/>
      <c r="I78" s="26">
        <v>0</v>
      </c>
      <c r="J78" s="133">
        <f t="shared" si="2"/>
        <v>0</v>
      </c>
      <c r="K78" s="134"/>
      <c r="L78" s="134"/>
    </row>
    <row r="79" spans="1:12" s="3" customFormat="1" ht="15.75" customHeight="1">
      <c r="A79" s="141" t="s">
        <v>132</v>
      </c>
      <c r="B79" s="141"/>
      <c r="C79" s="23">
        <v>0</v>
      </c>
      <c r="D79" s="24">
        <v>0</v>
      </c>
      <c r="E79" s="25">
        <f>G79</f>
        <v>0</v>
      </c>
      <c r="F79" s="26">
        <v>0</v>
      </c>
      <c r="G79" s="137">
        <v>0</v>
      </c>
      <c r="H79" s="139"/>
      <c r="I79" s="26">
        <v>0</v>
      </c>
      <c r="J79" s="133">
        <f t="shared" si="2"/>
        <v>0</v>
      </c>
      <c r="K79" s="134"/>
      <c r="L79" s="134"/>
    </row>
    <row r="80" spans="1:12" s="3" customFormat="1" ht="15.75" customHeight="1">
      <c r="A80" s="141" t="s">
        <v>133</v>
      </c>
      <c r="B80" s="141"/>
      <c r="C80" s="23">
        <v>0</v>
      </c>
      <c r="D80" s="24">
        <v>0</v>
      </c>
      <c r="E80" s="25">
        <f>G80</f>
        <v>0</v>
      </c>
      <c r="F80" s="26">
        <v>0</v>
      </c>
      <c r="G80" s="137">
        <v>0</v>
      </c>
      <c r="H80" s="139"/>
      <c r="I80" s="26">
        <v>0</v>
      </c>
      <c r="J80" s="133">
        <f t="shared" si="2"/>
        <v>0</v>
      </c>
      <c r="K80" s="134"/>
      <c r="L80" s="134"/>
    </row>
    <row r="81" spans="1:12" s="3" customFormat="1" ht="15.75" customHeight="1">
      <c r="A81" s="236" t="s">
        <v>56</v>
      </c>
      <c r="B81" s="231"/>
      <c r="C81" s="19">
        <v>5507654646</v>
      </c>
      <c r="D81" s="20">
        <v>5897007777</v>
      </c>
      <c r="E81" s="16">
        <f>G81-4175876760</f>
        <v>1355513900</v>
      </c>
      <c r="F81" s="21">
        <f>(E81/D81)*100</f>
        <v>22.98646960051313</v>
      </c>
      <c r="G81" s="237">
        <v>5531390660</v>
      </c>
      <c r="H81" s="238"/>
      <c r="I81" s="21">
        <f>(G81/D81)*100</f>
        <v>93.79995531927209</v>
      </c>
      <c r="J81" s="175">
        <f>D81-G81</f>
        <v>365617117</v>
      </c>
      <c r="K81" s="176"/>
      <c r="L81" s="176"/>
    </row>
    <row r="82" spans="1:12" s="3" customFormat="1" ht="15.75" customHeight="1">
      <c r="A82" s="220" t="s">
        <v>28</v>
      </c>
      <c r="B82" s="232"/>
      <c r="C82" s="30">
        <f>C17+C81</f>
        <v>72371273586</v>
      </c>
      <c r="D82" s="31">
        <f>D17+D81</f>
        <v>66890775514.03</v>
      </c>
      <c r="E82" s="30">
        <f>E17+E81</f>
        <v>10362390360.82</v>
      </c>
      <c r="F82" s="32">
        <f t="shared" si="4"/>
        <v>15.491508778585683</v>
      </c>
      <c r="G82" s="248">
        <f>G17+G81</f>
        <v>54537521330.91</v>
      </c>
      <c r="H82" s="249"/>
      <c r="I82" s="32">
        <f>(G82/D82)*100</f>
        <v>81.53220068359207</v>
      </c>
      <c r="J82" s="208">
        <f>D82-G82</f>
        <v>12353254183.119995</v>
      </c>
      <c r="K82" s="209"/>
      <c r="L82" s="209"/>
    </row>
    <row r="83" spans="1:12" s="3" customFormat="1" ht="15.75" customHeight="1">
      <c r="A83" s="239" t="s">
        <v>76</v>
      </c>
      <c r="B83" s="240"/>
      <c r="C83" s="33">
        <v>0</v>
      </c>
      <c r="D83" s="15">
        <v>0</v>
      </c>
      <c r="E83" s="16">
        <v>0</v>
      </c>
      <c r="F83" s="17">
        <v>0</v>
      </c>
      <c r="G83" s="190">
        <v>0</v>
      </c>
      <c r="H83" s="241"/>
      <c r="I83" s="17">
        <v>0</v>
      </c>
      <c r="J83" s="190">
        <v>0</v>
      </c>
      <c r="K83" s="191"/>
      <c r="L83" s="191"/>
    </row>
    <row r="84" spans="1:12" s="3" customFormat="1" ht="15.75" customHeight="1">
      <c r="A84" s="141" t="s">
        <v>134</v>
      </c>
      <c r="B84" s="231"/>
      <c r="C84" s="34">
        <v>0</v>
      </c>
      <c r="D84" s="24">
        <v>0</v>
      </c>
      <c r="E84" s="25">
        <v>0</v>
      </c>
      <c r="F84" s="26">
        <v>0</v>
      </c>
      <c r="G84" s="133">
        <v>0</v>
      </c>
      <c r="H84" s="229"/>
      <c r="I84" s="26">
        <v>0</v>
      </c>
      <c r="J84" s="133">
        <v>0</v>
      </c>
      <c r="K84" s="134"/>
      <c r="L84" s="134"/>
    </row>
    <row r="85" spans="1:12" s="3" customFormat="1" ht="15.75" customHeight="1">
      <c r="A85" s="141" t="s">
        <v>57</v>
      </c>
      <c r="B85" s="231"/>
      <c r="C85" s="34">
        <v>0</v>
      </c>
      <c r="D85" s="24">
        <v>0</v>
      </c>
      <c r="E85" s="25">
        <v>0</v>
      </c>
      <c r="F85" s="26">
        <v>0</v>
      </c>
      <c r="G85" s="133">
        <v>0</v>
      </c>
      <c r="H85" s="229"/>
      <c r="I85" s="26">
        <v>0</v>
      </c>
      <c r="J85" s="133">
        <v>0</v>
      </c>
      <c r="K85" s="134"/>
      <c r="L85" s="134"/>
    </row>
    <row r="86" spans="1:12" s="3" customFormat="1" ht="15.75" customHeight="1">
      <c r="A86" s="230" t="s">
        <v>58</v>
      </c>
      <c r="B86" s="231"/>
      <c r="C86" s="34">
        <v>0</v>
      </c>
      <c r="D86" s="24">
        <v>0</v>
      </c>
      <c r="E86" s="25">
        <v>0</v>
      </c>
      <c r="F86" s="26">
        <v>0</v>
      </c>
      <c r="G86" s="133">
        <v>0</v>
      </c>
      <c r="H86" s="229"/>
      <c r="I86" s="26">
        <v>0</v>
      </c>
      <c r="J86" s="133">
        <v>0</v>
      </c>
      <c r="K86" s="134"/>
      <c r="L86" s="134"/>
    </row>
    <row r="87" spans="1:12" s="3" customFormat="1" ht="15.75" customHeight="1">
      <c r="A87" s="141" t="s">
        <v>135</v>
      </c>
      <c r="B87" s="231"/>
      <c r="C87" s="34">
        <v>0</v>
      </c>
      <c r="D87" s="24">
        <v>0</v>
      </c>
      <c r="E87" s="25">
        <v>0</v>
      </c>
      <c r="F87" s="26">
        <v>0</v>
      </c>
      <c r="G87" s="133">
        <v>0</v>
      </c>
      <c r="H87" s="229"/>
      <c r="I87" s="26">
        <v>0</v>
      </c>
      <c r="J87" s="133">
        <v>0</v>
      </c>
      <c r="K87" s="134"/>
      <c r="L87" s="134"/>
    </row>
    <row r="88" spans="1:12" s="3" customFormat="1" ht="15.75" customHeight="1">
      <c r="A88" s="141" t="s">
        <v>57</v>
      </c>
      <c r="B88" s="231"/>
      <c r="C88" s="34">
        <v>0</v>
      </c>
      <c r="D88" s="24">
        <v>0</v>
      </c>
      <c r="E88" s="25">
        <v>0</v>
      </c>
      <c r="F88" s="26">
        <v>0</v>
      </c>
      <c r="G88" s="133">
        <v>0</v>
      </c>
      <c r="H88" s="229"/>
      <c r="I88" s="26">
        <v>0</v>
      </c>
      <c r="J88" s="133">
        <v>0</v>
      </c>
      <c r="K88" s="134"/>
      <c r="L88" s="134"/>
    </row>
    <row r="89" spans="1:12" s="3" customFormat="1" ht="15.75" customHeight="1">
      <c r="A89" s="233" t="s">
        <v>58</v>
      </c>
      <c r="B89" s="234"/>
      <c r="C89" s="36">
        <v>0</v>
      </c>
      <c r="D89" s="37">
        <v>0</v>
      </c>
      <c r="E89" s="25">
        <v>0</v>
      </c>
      <c r="F89" s="38">
        <v>0</v>
      </c>
      <c r="G89" s="142">
        <v>0</v>
      </c>
      <c r="H89" s="235"/>
      <c r="I89" s="38">
        <v>0</v>
      </c>
      <c r="J89" s="133">
        <v>0</v>
      </c>
      <c r="K89" s="134"/>
      <c r="L89" s="134"/>
    </row>
    <row r="90" spans="1:13" s="3" customFormat="1" ht="15.75" customHeight="1">
      <c r="A90" s="220" t="s">
        <v>29</v>
      </c>
      <c r="B90" s="232"/>
      <c r="C90" s="39">
        <f>C82+C83</f>
        <v>72371273586</v>
      </c>
      <c r="D90" s="31">
        <f>D82+D83</f>
        <v>66890775514.03</v>
      </c>
      <c r="E90" s="30">
        <f>E82+E83</f>
        <v>10362390360.82</v>
      </c>
      <c r="F90" s="40">
        <f>(E90/D90)*100</f>
        <v>15.491508778585683</v>
      </c>
      <c r="G90" s="208">
        <f>G82+G83</f>
        <v>54537521330.91</v>
      </c>
      <c r="H90" s="210">
        <f>H82+H83</f>
        <v>0</v>
      </c>
      <c r="I90" s="21">
        <f>(G90/D90)*100</f>
        <v>81.53220068359207</v>
      </c>
      <c r="J90" s="208">
        <f>D90-G90</f>
        <v>12353254183.119995</v>
      </c>
      <c r="K90" s="209">
        <f>K82+K83</f>
        <v>0</v>
      </c>
      <c r="L90" s="209">
        <f>L82+L83</f>
        <v>0</v>
      </c>
      <c r="M90" s="41"/>
    </row>
    <row r="91" spans="1:13" s="3" customFormat="1" ht="15.75" customHeight="1">
      <c r="A91" s="220" t="s">
        <v>30</v>
      </c>
      <c r="B91" s="221"/>
      <c r="C91" s="30">
        <f>B122-C90</f>
        <v>8002595184</v>
      </c>
      <c r="D91" s="131">
        <f>C122-D90</f>
        <v>16263404090.970001</v>
      </c>
      <c r="E91" s="30">
        <f>G122-E90</f>
        <v>402791667.1800003</v>
      </c>
      <c r="F91" s="32">
        <v>0</v>
      </c>
      <c r="G91" s="208">
        <v>0</v>
      </c>
      <c r="H91" s="210"/>
      <c r="I91" s="17">
        <v>0</v>
      </c>
      <c r="J91" s="208">
        <f>J92-J90</f>
        <v>16263404090.970001</v>
      </c>
      <c r="K91" s="209"/>
      <c r="L91" s="209"/>
      <c r="M91" s="28"/>
    </row>
    <row r="92" spans="1:17" s="3" customFormat="1" ht="15.75" customHeight="1">
      <c r="A92" s="226" t="s">
        <v>31</v>
      </c>
      <c r="B92" s="227"/>
      <c r="C92" s="30">
        <f>C90+C91</f>
        <v>80373868770</v>
      </c>
      <c r="D92" s="31">
        <f>D90+D91</f>
        <v>83154179605</v>
      </c>
      <c r="E92" s="30">
        <f>E90+E91</f>
        <v>10765182028</v>
      </c>
      <c r="F92" s="32">
        <f>(E92/D92)*100</f>
        <v>12.946050432025064</v>
      </c>
      <c r="G92" s="208">
        <f>G90+G91</f>
        <v>54537521330.91</v>
      </c>
      <c r="H92" s="210"/>
      <c r="I92" s="32">
        <f>(G92/D92)*100</f>
        <v>65.58602536874851</v>
      </c>
      <c r="J92" s="208">
        <f>D92-G92</f>
        <v>28616658274.089996</v>
      </c>
      <c r="K92" s="209"/>
      <c r="L92" s="209"/>
      <c r="N92" s="250"/>
      <c r="O92" s="250"/>
      <c r="P92" s="250"/>
      <c r="Q92" s="250"/>
    </row>
    <row r="93" spans="1:17" s="3" customFormat="1" ht="15.75" customHeight="1">
      <c r="A93" s="228" t="s">
        <v>77</v>
      </c>
      <c r="B93" s="228"/>
      <c r="C93" s="42">
        <f>SUM(C94:C95)</f>
        <v>0</v>
      </c>
      <c r="D93" s="42">
        <f>SUM(D94:D95)</f>
        <v>1650316939.58</v>
      </c>
      <c r="E93" s="43">
        <f>SUM(E94:E95)</f>
        <v>0</v>
      </c>
      <c r="F93" s="42">
        <v>0</v>
      </c>
      <c r="G93" s="222">
        <f>SUM(G94:H95)</f>
        <v>1650316939.58</v>
      </c>
      <c r="H93" s="223">
        <f>SUM(H94:H95)</f>
        <v>0</v>
      </c>
      <c r="I93" s="42">
        <v>0</v>
      </c>
      <c r="J93" s="224">
        <f>SUM(J94+J95)</f>
        <v>0</v>
      </c>
      <c r="K93" s="225"/>
      <c r="L93" s="225"/>
      <c r="M93" s="44"/>
      <c r="N93" s="250"/>
      <c r="O93" s="250"/>
      <c r="P93" s="250"/>
      <c r="Q93" s="250"/>
    </row>
    <row r="94" spans="1:17" s="3" customFormat="1" ht="15.75" customHeight="1">
      <c r="A94" s="215" t="s">
        <v>92</v>
      </c>
      <c r="B94" s="215"/>
      <c r="C94" s="45">
        <v>0</v>
      </c>
      <c r="D94" s="46">
        <f>G94</f>
        <v>0</v>
      </c>
      <c r="E94" s="47">
        <v>0</v>
      </c>
      <c r="F94" s="45">
        <v>0</v>
      </c>
      <c r="G94" s="216">
        <v>0</v>
      </c>
      <c r="H94" s="217"/>
      <c r="I94" s="48">
        <v>0</v>
      </c>
      <c r="J94" s="218">
        <v>0</v>
      </c>
      <c r="K94" s="219"/>
      <c r="L94" s="219"/>
      <c r="M94" s="44"/>
      <c r="N94" s="250"/>
      <c r="O94" s="250"/>
      <c r="P94" s="250"/>
      <c r="Q94" s="250"/>
    </row>
    <row r="95" spans="1:17" s="3" customFormat="1" ht="15.75" customHeight="1">
      <c r="A95" s="215" t="s">
        <v>136</v>
      </c>
      <c r="B95" s="215"/>
      <c r="C95" s="45">
        <v>0</v>
      </c>
      <c r="D95" s="46">
        <f>G95</f>
        <v>1650316939.58</v>
      </c>
      <c r="E95" s="47">
        <v>0</v>
      </c>
      <c r="F95" s="45">
        <v>0</v>
      </c>
      <c r="G95" s="216">
        <v>1650316939.58</v>
      </c>
      <c r="H95" s="217"/>
      <c r="I95" s="48">
        <v>0</v>
      </c>
      <c r="J95" s="218">
        <v>0</v>
      </c>
      <c r="K95" s="219"/>
      <c r="L95" s="219"/>
      <c r="M95" s="44"/>
      <c r="N95" s="250"/>
      <c r="O95" s="250"/>
      <c r="P95" s="250"/>
      <c r="Q95" s="250"/>
    </row>
    <row r="96" spans="1:17" ht="15.75">
      <c r="A96" s="49"/>
      <c r="B96" s="50"/>
      <c r="C96" s="50"/>
      <c r="D96" s="51"/>
      <c r="E96" s="51"/>
      <c r="F96" s="50"/>
      <c r="G96" s="52"/>
      <c r="H96" s="53"/>
      <c r="I96" s="53"/>
      <c r="J96" s="53"/>
      <c r="K96" s="53"/>
      <c r="L96" s="54"/>
      <c r="M96" s="44"/>
      <c r="N96" s="250"/>
      <c r="O96" s="250"/>
      <c r="P96" s="250"/>
      <c r="Q96" s="250"/>
    </row>
    <row r="97" spans="1:12" s="3" customFormat="1" ht="17.25" customHeight="1">
      <c r="A97" s="160" t="s">
        <v>18</v>
      </c>
      <c r="B97" s="111" t="s">
        <v>15</v>
      </c>
      <c r="C97" s="111" t="s">
        <v>15</v>
      </c>
      <c r="D97" s="144" t="s">
        <v>16</v>
      </c>
      <c r="E97" s="145"/>
      <c r="F97" s="112" t="s">
        <v>73</v>
      </c>
      <c r="G97" s="144" t="s">
        <v>17</v>
      </c>
      <c r="H97" s="145"/>
      <c r="I97" s="146"/>
      <c r="J97" s="113" t="s">
        <v>73</v>
      </c>
      <c r="K97" s="150" t="s">
        <v>78</v>
      </c>
      <c r="L97" s="151"/>
    </row>
    <row r="98" spans="1:12" s="3" customFormat="1" ht="14.25" customHeight="1">
      <c r="A98" s="161"/>
      <c r="B98" s="114" t="s">
        <v>5</v>
      </c>
      <c r="C98" s="114" t="s">
        <v>6</v>
      </c>
      <c r="D98" s="115" t="s">
        <v>79</v>
      </c>
      <c r="E98" s="115" t="s">
        <v>80</v>
      </c>
      <c r="F98" s="116"/>
      <c r="G98" s="115" t="s">
        <v>79</v>
      </c>
      <c r="H98" s="156" t="s">
        <v>80</v>
      </c>
      <c r="I98" s="157"/>
      <c r="J98" s="117"/>
      <c r="K98" s="152"/>
      <c r="L98" s="153"/>
    </row>
    <row r="99" spans="1:12" s="3" customFormat="1" ht="14.25" customHeight="1">
      <c r="A99" s="161"/>
      <c r="B99" s="114"/>
      <c r="C99" s="114"/>
      <c r="D99" s="116" t="s">
        <v>81</v>
      </c>
      <c r="E99" s="116" t="s">
        <v>81</v>
      </c>
      <c r="F99" s="116"/>
      <c r="G99" s="116" t="s">
        <v>81</v>
      </c>
      <c r="H99" s="158" t="s">
        <v>81</v>
      </c>
      <c r="I99" s="159"/>
      <c r="J99" s="117"/>
      <c r="K99" s="152"/>
      <c r="L99" s="153"/>
    </row>
    <row r="100" spans="1:12" s="3" customFormat="1" ht="16.5" customHeight="1">
      <c r="A100" s="162"/>
      <c r="B100" s="118" t="s">
        <v>19</v>
      </c>
      <c r="C100" s="118" t="s">
        <v>20</v>
      </c>
      <c r="D100" s="118"/>
      <c r="E100" s="118" t="s">
        <v>82</v>
      </c>
      <c r="F100" s="119" t="s">
        <v>83</v>
      </c>
      <c r="G100" s="118"/>
      <c r="H100" s="170" t="s">
        <v>21</v>
      </c>
      <c r="I100" s="171"/>
      <c r="J100" s="120" t="s">
        <v>84</v>
      </c>
      <c r="K100" s="170" t="s">
        <v>22</v>
      </c>
      <c r="L100" s="172"/>
    </row>
    <row r="101" spans="1:13" s="3" customFormat="1" ht="15.75" customHeight="1">
      <c r="A101" s="55" t="s">
        <v>85</v>
      </c>
      <c r="B101" s="20">
        <f>B102+B108+B112</f>
        <v>74857732283</v>
      </c>
      <c r="C101" s="20">
        <f>C102+C108+C112</f>
        <v>76368204997</v>
      </c>
      <c r="D101" s="20">
        <f>D102+D108+D112</f>
        <v>9069622135</v>
      </c>
      <c r="E101" s="20">
        <f>E102+E108+E112</f>
        <v>46749359326</v>
      </c>
      <c r="F101" s="20">
        <f>C101-E101</f>
        <v>29618845671</v>
      </c>
      <c r="G101" s="56">
        <f>G102+G108+G112</f>
        <v>9483963661</v>
      </c>
      <c r="H101" s="213">
        <f>H102+H108+H112</f>
        <v>44307669262</v>
      </c>
      <c r="I101" s="214"/>
      <c r="J101" s="15">
        <f aca="true" t="shared" si="5" ref="J101:J106">C101-H101</f>
        <v>32060535735</v>
      </c>
      <c r="K101" s="190">
        <f>K102+K108+K112</f>
        <v>41727691036</v>
      </c>
      <c r="L101" s="191" t="e">
        <f>L102+L108+L112+#REF!</f>
        <v>#REF!</v>
      </c>
      <c r="M101" s="18"/>
    </row>
    <row r="102" spans="1:13" s="3" customFormat="1" ht="15.75" customHeight="1">
      <c r="A102" s="57" t="s">
        <v>59</v>
      </c>
      <c r="B102" s="20">
        <f>SUM(B103:B105)</f>
        <v>66457905808</v>
      </c>
      <c r="C102" s="20">
        <f>SUM(C103:C105)</f>
        <v>66808829020</v>
      </c>
      <c r="D102" s="20">
        <f>SUM(D103:D105)</f>
        <v>8816717848</v>
      </c>
      <c r="E102" s="20">
        <f>SUM(E103:E105)</f>
        <v>45611534118</v>
      </c>
      <c r="F102" s="20">
        <f>C102-E102</f>
        <v>21197294902</v>
      </c>
      <c r="G102" s="56">
        <f>SUM(G103:G105)</f>
        <v>9204431555</v>
      </c>
      <c r="H102" s="167">
        <f>SUM(H103:H105)</f>
        <v>43376945661</v>
      </c>
      <c r="I102" s="168"/>
      <c r="J102" s="20">
        <f t="shared" si="5"/>
        <v>23431883359</v>
      </c>
      <c r="K102" s="175">
        <f>SUM(K103:K105)</f>
        <v>40855444455</v>
      </c>
      <c r="L102" s="176">
        <f>SUM(L103:L105)</f>
        <v>0</v>
      </c>
      <c r="M102" s="28"/>
    </row>
    <row r="103" spans="1:13" s="1" customFormat="1" ht="15.75" customHeight="1">
      <c r="A103" s="58" t="s">
        <v>60</v>
      </c>
      <c r="B103" s="24">
        <v>43266447176</v>
      </c>
      <c r="C103" s="24">
        <v>43536001700</v>
      </c>
      <c r="D103" s="24">
        <f>E103-25638499890</f>
        <v>6565115269</v>
      </c>
      <c r="E103" s="24">
        <v>32203615159</v>
      </c>
      <c r="F103" s="24">
        <f>C103-E103</f>
        <v>11332386541</v>
      </c>
      <c r="G103" s="59">
        <f>H103-24954094736</f>
        <v>6734795900</v>
      </c>
      <c r="H103" s="137">
        <v>31688890636</v>
      </c>
      <c r="I103" s="139"/>
      <c r="J103" s="24">
        <f>C103-H103</f>
        <v>11847111064</v>
      </c>
      <c r="K103" s="137">
        <v>29591730319</v>
      </c>
      <c r="L103" s="138"/>
      <c r="M103" s="60"/>
    </row>
    <row r="104" spans="1:13" s="3" customFormat="1" ht="15.75" customHeight="1">
      <c r="A104" s="58" t="s">
        <v>61</v>
      </c>
      <c r="B104" s="24">
        <v>339741069</v>
      </c>
      <c r="C104" s="24">
        <v>147044969</v>
      </c>
      <c r="D104" s="24">
        <f>E104-85432096</f>
        <v>23807107</v>
      </c>
      <c r="E104" s="24">
        <v>109239203</v>
      </c>
      <c r="F104" s="24">
        <f aca="true" t="shared" si="6" ref="F104:F112">C104-E104</f>
        <v>37805766</v>
      </c>
      <c r="G104" s="59">
        <f>H104-85120120</f>
        <v>23688386</v>
      </c>
      <c r="H104" s="137">
        <v>108808506</v>
      </c>
      <c r="I104" s="139"/>
      <c r="J104" s="24">
        <f>C104-H104</f>
        <v>38236463</v>
      </c>
      <c r="K104" s="137">
        <v>108796406</v>
      </c>
      <c r="L104" s="138"/>
      <c r="M104" s="61"/>
    </row>
    <row r="105" spans="1:13" s="3" customFormat="1" ht="15.75" customHeight="1">
      <c r="A105" s="58" t="s">
        <v>62</v>
      </c>
      <c r="B105" s="24">
        <v>22851717563</v>
      </c>
      <c r="C105" s="24">
        <v>23125782351</v>
      </c>
      <c r="D105" s="24">
        <f>E105-11070884284</f>
        <v>2227795472</v>
      </c>
      <c r="E105" s="24">
        <v>13298679756</v>
      </c>
      <c r="F105" s="24">
        <f t="shared" si="6"/>
        <v>9827102595</v>
      </c>
      <c r="G105" s="59">
        <f>H105-9133299250</f>
        <v>2445947269</v>
      </c>
      <c r="H105" s="137">
        <v>11579246519</v>
      </c>
      <c r="I105" s="139"/>
      <c r="J105" s="24">
        <f>C105-H105</f>
        <v>11546535832</v>
      </c>
      <c r="K105" s="137">
        <v>11154917730</v>
      </c>
      <c r="L105" s="138"/>
      <c r="M105" s="62"/>
    </row>
    <row r="106" spans="1:12" s="3" customFormat="1" ht="15.75" customHeight="1">
      <c r="A106" s="63" t="s">
        <v>88</v>
      </c>
      <c r="B106" s="24">
        <v>53367401</v>
      </c>
      <c r="C106" s="24">
        <v>53367401</v>
      </c>
      <c r="D106" s="24">
        <f>E106-0</f>
        <v>0</v>
      </c>
      <c r="E106" s="24">
        <v>0</v>
      </c>
      <c r="F106" s="24">
        <f t="shared" si="6"/>
        <v>53367401</v>
      </c>
      <c r="G106" s="59">
        <f>H106-0</f>
        <v>0</v>
      </c>
      <c r="H106" s="137">
        <v>0</v>
      </c>
      <c r="I106" s="139"/>
      <c r="J106" s="24">
        <f t="shared" si="5"/>
        <v>53367401</v>
      </c>
      <c r="K106" s="137">
        <v>0</v>
      </c>
      <c r="L106" s="138"/>
    </row>
    <row r="107" spans="1:12" s="3" customFormat="1" ht="15.75" customHeight="1">
      <c r="A107" s="63" t="s">
        <v>89</v>
      </c>
      <c r="B107" s="24">
        <f>B105-B106</f>
        <v>22798350162</v>
      </c>
      <c r="C107" s="24">
        <v>23072414950</v>
      </c>
      <c r="D107" s="24">
        <f>D105-D106</f>
        <v>2227795472</v>
      </c>
      <c r="E107" s="24">
        <f>E105-E106</f>
        <v>13298679756</v>
      </c>
      <c r="F107" s="24">
        <f t="shared" si="6"/>
        <v>9773735194</v>
      </c>
      <c r="G107" s="59">
        <f>G105-G106</f>
        <v>2445947269</v>
      </c>
      <c r="H107" s="137">
        <f>H105-H106</f>
        <v>11579246519</v>
      </c>
      <c r="I107" s="139"/>
      <c r="J107" s="24">
        <f aca="true" t="shared" si="7" ref="J107:J112">C107-H107</f>
        <v>11493168431</v>
      </c>
      <c r="K107" s="137">
        <f>K105-K106</f>
        <v>11154917730</v>
      </c>
      <c r="L107" s="138"/>
    </row>
    <row r="108" spans="1:12" s="1" customFormat="1" ht="15.75">
      <c r="A108" s="57" t="s">
        <v>63</v>
      </c>
      <c r="B108" s="20">
        <f>SUM(B109:B111)</f>
        <v>8056026182</v>
      </c>
      <c r="C108" s="20">
        <f>SUM(C109:C111)</f>
        <v>9215575684</v>
      </c>
      <c r="D108" s="20">
        <f>SUM(D109:D111)</f>
        <v>252904287</v>
      </c>
      <c r="E108" s="20">
        <f>SUM(E109:E111)</f>
        <v>1137825208</v>
      </c>
      <c r="F108" s="20">
        <f t="shared" si="6"/>
        <v>8077750476</v>
      </c>
      <c r="G108" s="56">
        <f>SUM(G109:G111)</f>
        <v>279532106</v>
      </c>
      <c r="H108" s="167">
        <f>SUM(H109:I111)</f>
        <v>930723601</v>
      </c>
      <c r="I108" s="168"/>
      <c r="J108" s="20">
        <f t="shared" si="7"/>
        <v>8284852083</v>
      </c>
      <c r="K108" s="167">
        <f>SUM(K109:K111)</f>
        <v>872246581</v>
      </c>
      <c r="L108" s="169"/>
    </row>
    <row r="109" spans="1:12" s="3" customFormat="1" ht="15.75" customHeight="1">
      <c r="A109" s="58" t="s">
        <v>64</v>
      </c>
      <c r="B109" s="24">
        <v>7435538821</v>
      </c>
      <c r="C109" s="24">
        <v>8415370879</v>
      </c>
      <c r="D109" s="24">
        <f>E109-489955504</f>
        <v>164918708</v>
      </c>
      <c r="E109" s="24">
        <v>654874212</v>
      </c>
      <c r="F109" s="24">
        <f t="shared" si="6"/>
        <v>7760496667</v>
      </c>
      <c r="G109" s="59">
        <f>H109-256533351</f>
        <v>191272022</v>
      </c>
      <c r="H109" s="137">
        <v>447805373</v>
      </c>
      <c r="I109" s="139"/>
      <c r="J109" s="24">
        <f t="shared" si="7"/>
        <v>7967565506</v>
      </c>
      <c r="K109" s="137">
        <v>389389355</v>
      </c>
      <c r="L109" s="138"/>
    </row>
    <row r="110" spans="1:12" s="3" customFormat="1" ht="15.75" customHeight="1">
      <c r="A110" s="58" t="s">
        <v>65</v>
      </c>
      <c r="B110" s="24">
        <v>112519898</v>
      </c>
      <c r="C110" s="24">
        <v>161228784</v>
      </c>
      <c r="D110" s="24">
        <f>E110-4781487</f>
        <v>79279</v>
      </c>
      <c r="E110" s="24">
        <v>4860766</v>
      </c>
      <c r="F110" s="24">
        <f t="shared" si="6"/>
        <v>156368018</v>
      </c>
      <c r="G110" s="59">
        <f>H110-4781487</f>
        <v>79279</v>
      </c>
      <c r="H110" s="137">
        <v>4860766</v>
      </c>
      <c r="I110" s="139"/>
      <c r="J110" s="24">
        <f t="shared" si="7"/>
        <v>156368018</v>
      </c>
      <c r="K110" s="137">
        <v>4860766</v>
      </c>
      <c r="L110" s="138"/>
    </row>
    <row r="111" spans="1:12" s="3" customFormat="1" ht="15.75" customHeight="1">
      <c r="A111" s="58" t="s">
        <v>66</v>
      </c>
      <c r="B111" s="24">
        <v>507967463</v>
      </c>
      <c r="C111" s="24">
        <v>638976021</v>
      </c>
      <c r="D111" s="24">
        <f>E111-390183930</f>
        <v>87906300</v>
      </c>
      <c r="E111" s="24">
        <v>478090230</v>
      </c>
      <c r="F111" s="24">
        <f t="shared" si="6"/>
        <v>160885791</v>
      </c>
      <c r="G111" s="59">
        <f>H111-389876657</f>
        <v>88180805</v>
      </c>
      <c r="H111" s="137">
        <v>478057462</v>
      </c>
      <c r="I111" s="139"/>
      <c r="J111" s="24">
        <f>C111-H111</f>
        <v>160918559</v>
      </c>
      <c r="K111" s="137">
        <v>477996460</v>
      </c>
      <c r="L111" s="138"/>
    </row>
    <row r="112" spans="1:12" s="3" customFormat="1" ht="15.75" customHeight="1">
      <c r="A112" s="57" t="s">
        <v>67</v>
      </c>
      <c r="B112" s="56">
        <v>343800293</v>
      </c>
      <c r="C112" s="56">
        <v>343800293</v>
      </c>
      <c r="D112" s="56">
        <f>E112-0</f>
        <v>0</v>
      </c>
      <c r="E112" s="56">
        <v>0</v>
      </c>
      <c r="F112" s="56">
        <f t="shared" si="6"/>
        <v>343800293</v>
      </c>
      <c r="G112" s="56">
        <f>H112-0</f>
        <v>0</v>
      </c>
      <c r="H112" s="167">
        <v>0</v>
      </c>
      <c r="I112" s="168"/>
      <c r="J112" s="20">
        <f t="shared" si="7"/>
        <v>343800293</v>
      </c>
      <c r="K112" s="167">
        <v>0</v>
      </c>
      <c r="L112" s="169"/>
    </row>
    <row r="113" spans="1:12" s="3" customFormat="1" ht="15.75" customHeight="1">
      <c r="A113" s="57" t="s">
        <v>68</v>
      </c>
      <c r="B113" s="56">
        <v>5507654646</v>
      </c>
      <c r="C113" s="56">
        <v>6777492767</v>
      </c>
      <c r="D113" s="56">
        <f>E113-4368688941</f>
        <v>1285605103</v>
      </c>
      <c r="E113" s="56">
        <v>5654294044</v>
      </c>
      <c r="F113" s="56">
        <f>C113-E113</f>
        <v>1123198723</v>
      </c>
      <c r="G113" s="56">
        <f>H113-4189746591</f>
        <v>1279905573</v>
      </c>
      <c r="H113" s="167">
        <v>5469652164</v>
      </c>
      <c r="I113" s="168"/>
      <c r="J113" s="20">
        <f>C113-H113</f>
        <v>1307840603</v>
      </c>
      <c r="K113" s="167">
        <v>5050671930</v>
      </c>
      <c r="L113" s="169"/>
    </row>
    <row r="114" spans="1:17" s="3" customFormat="1" ht="15.75" customHeight="1">
      <c r="A114" s="64" t="s">
        <v>32</v>
      </c>
      <c r="B114" s="65">
        <f>B101+B113</f>
        <v>80365386929</v>
      </c>
      <c r="C114" s="65">
        <f>C101+C113</f>
        <v>83145697764</v>
      </c>
      <c r="D114" s="65">
        <f>D101+D113</f>
        <v>10355227238</v>
      </c>
      <c r="E114" s="65">
        <f>E101+E113</f>
        <v>52403653370</v>
      </c>
      <c r="F114" s="65">
        <f>C114-E114</f>
        <v>30742044394</v>
      </c>
      <c r="G114" s="65">
        <f>G101+G113</f>
        <v>10763869234</v>
      </c>
      <c r="H114" s="208">
        <f>H101+H113</f>
        <v>49777321426</v>
      </c>
      <c r="I114" s="210" t="e">
        <f>I101+#REF!</f>
        <v>#REF!</v>
      </c>
      <c r="J114" s="15">
        <f>C114-H114</f>
        <v>33368376338</v>
      </c>
      <c r="K114" s="208">
        <f>K101+K113</f>
        <v>46778362966</v>
      </c>
      <c r="L114" s="209" t="e">
        <f>L101+#REF!</f>
        <v>#REF!</v>
      </c>
      <c r="M114" s="66"/>
      <c r="N114" s="66"/>
      <c r="O114" s="66"/>
      <c r="P114" s="66"/>
      <c r="Q114" s="66"/>
    </row>
    <row r="115" spans="1:17" s="3" customFormat="1" ht="15.75" customHeight="1">
      <c r="A115" s="67" t="s">
        <v>86</v>
      </c>
      <c r="B115" s="68">
        <f>B116+B119</f>
        <v>8481841</v>
      </c>
      <c r="C115" s="68">
        <f>C116+C119</f>
        <v>8481841</v>
      </c>
      <c r="D115" s="68">
        <f>D116+D119</f>
        <v>1312794</v>
      </c>
      <c r="E115" s="68">
        <f>E116+E119</f>
        <v>7115944</v>
      </c>
      <c r="F115" s="68">
        <f aca="true" t="shared" si="8" ref="F115:F120">C115-E115</f>
        <v>1365897</v>
      </c>
      <c r="G115" s="68">
        <f>G116+G119</f>
        <v>1312794</v>
      </c>
      <c r="H115" s="190">
        <f>H116+H119</f>
        <v>7115944</v>
      </c>
      <c r="I115" s="191">
        <f>I116+I119</f>
        <v>0</v>
      </c>
      <c r="J115" s="15">
        <f>C115-H115</f>
        <v>1365897</v>
      </c>
      <c r="K115" s="191">
        <f>K116+K119</f>
        <v>7115944</v>
      </c>
      <c r="L115" s="191"/>
      <c r="M115" s="66"/>
      <c r="N115" s="66"/>
      <c r="O115" s="66"/>
      <c r="P115" s="66"/>
      <c r="Q115" s="66"/>
    </row>
    <row r="116" spans="1:17" s="3" customFormat="1" ht="15.75" customHeight="1">
      <c r="A116" s="63" t="s">
        <v>23</v>
      </c>
      <c r="B116" s="59">
        <f>B117+B118</f>
        <v>8481841</v>
      </c>
      <c r="C116" s="59">
        <f>C117+C118</f>
        <v>8481841</v>
      </c>
      <c r="D116" s="24">
        <f>D117+D118</f>
        <v>1312794</v>
      </c>
      <c r="E116" s="24">
        <f>E117+E118</f>
        <v>7115944</v>
      </c>
      <c r="F116" s="24">
        <f t="shared" si="8"/>
        <v>1365897</v>
      </c>
      <c r="G116" s="59">
        <f>G117+G118</f>
        <v>1312794</v>
      </c>
      <c r="H116" s="133">
        <f>H117+H118</f>
        <v>7115944</v>
      </c>
      <c r="I116" s="134">
        <f>I117+I118</f>
        <v>0</v>
      </c>
      <c r="J116" s="24">
        <f aca="true" t="shared" si="9" ref="J116:J121">C116-H116</f>
        <v>1365897</v>
      </c>
      <c r="K116" s="134">
        <f>K117+K118</f>
        <v>7115944</v>
      </c>
      <c r="L116" s="134"/>
      <c r="M116" s="66"/>
      <c r="N116" s="66"/>
      <c r="O116" s="66"/>
      <c r="P116" s="66"/>
      <c r="Q116" s="66"/>
    </row>
    <row r="117" spans="1:12" s="3" customFormat="1" ht="15.75" customHeight="1">
      <c r="A117" s="63" t="s">
        <v>24</v>
      </c>
      <c r="B117" s="59">
        <v>0</v>
      </c>
      <c r="C117" s="59">
        <v>0</v>
      </c>
      <c r="D117" s="24">
        <f>E117-0</f>
        <v>0</v>
      </c>
      <c r="E117" s="59">
        <v>0</v>
      </c>
      <c r="F117" s="24">
        <f t="shared" si="8"/>
        <v>0</v>
      </c>
      <c r="G117" s="59">
        <f>H117-0</f>
        <v>0</v>
      </c>
      <c r="H117" s="133">
        <v>0</v>
      </c>
      <c r="I117" s="134"/>
      <c r="J117" s="24">
        <f t="shared" si="9"/>
        <v>0</v>
      </c>
      <c r="K117" s="134">
        <v>0</v>
      </c>
      <c r="L117" s="134"/>
    </row>
    <row r="118" spans="1:12" s="3" customFormat="1" ht="15.75" customHeight="1">
      <c r="A118" s="63" t="s">
        <v>25</v>
      </c>
      <c r="B118" s="59">
        <v>8481841</v>
      </c>
      <c r="C118" s="59">
        <v>8481841</v>
      </c>
      <c r="D118" s="24">
        <f>E118-5803150</f>
        <v>1312794</v>
      </c>
      <c r="E118" s="24">
        <v>7115944</v>
      </c>
      <c r="F118" s="24">
        <f t="shared" si="8"/>
        <v>1365897</v>
      </c>
      <c r="G118" s="69">
        <f>H118-5803150</f>
        <v>1312794</v>
      </c>
      <c r="H118" s="137">
        <v>7115944</v>
      </c>
      <c r="I118" s="138"/>
      <c r="J118" s="24">
        <f>C118-H118</f>
        <v>1365897</v>
      </c>
      <c r="K118" s="134">
        <v>7115944</v>
      </c>
      <c r="L118" s="134"/>
    </row>
    <row r="119" spans="1:12" s="3" customFormat="1" ht="15.75" customHeight="1">
      <c r="A119" s="63" t="s">
        <v>26</v>
      </c>
      <c r="B119" s="59">
        <f>B120+B121</f>
        <v>0</v>
      </c>
      <c r="C119" s="59">
        <f>C120+C121</f>
        <v>0</v>
      </c>
      <c r="D119" s="24">
        <f>D120+D121</f>
        <v>0</v>
      </c>
      <c r="E119" s="59">
        <f>E120+E121</f>
        <v>0</v>
      </c>
      <c r="F119" s="24">
        <f t="shared" si="8"/>
        <v>0</v>
      </c>
      <c r="G119" s="59">
        <f>G120+G121</f>
        <v>0</v>
      </c>
      <c r="H119" s="133">
        <f>H120+H121</f>
        <v>0</v>
      </c>
      <c r="I119" s="134">
        <f>I120+I121</f>
        <v>0</v>
      </c>
      <c r="J119" s="24">
        <f t="shared" si="9"/>
        <v>0</v>
      </c>
      <c r="K119" s="134">
        <f>K120+K121</f>
        <v>0</v>
      </c>
      <c r="L119" s="134"/>
    </row>
    <row r="120" spans="1:12" s="3" customFormat="1" ht="15.75" customHeight="1">
      <c r="A120" s="63" t="s">
        <v>24</v>
      </c>
      <c r="B120" s="59">
        <v>0</v>
      </c>
      <c r="C120" s="59">
        <v>0</v>
      </c>
      <c r="D120" s="24">
        <f>E120-0</f>
        <v>0</v>
      </c>
      <c r="E120" s="59">
        <v>0</v>
      </c>
      <c r="F120" s="24">
        <f t="shared" si="8"/>
        <v>0</v>
      </c>
      <c r="G120" s="59">
        <f>H120-0</f>
        <v>0</v>
      </c>
      <c r="H120" s="133">
        <v>0</v>
      </c>
      <c r="I120" s="134"/>
      <c r="J120" s="24">
        <f t="shared" si="9"/>
        <v>0</v>
      </c>
      <c r="K120" s="134">
        <v>0</v>
      </c>
      <c r="L120" s="134"/>
    </row>
    <row r="121" spans="1:12" s="3" customFormat="1" ht="15.75" customHeight="1">
      <c r="A121" s="63" t="s">
        <v>25</v>
      </c>
      <c r="B121" s="70">
        <v>0</v>
      </c>
      <c r="C121" s="70">
        <v>0</v>
      </c>
      <c r="D121" s="37">
        <f>E121-0</f>
        <v>0</v>
      </c>
      <c r="E121" s="37">
        <v>0</v>
      </c>
      <c r="F121" s="37">
        <v>0</v>
      </c>
      <c r="G121" s="71">
        <f>H121-0</f>
        <v>0</v>
      </c>
      <c r="H121" s="164">
        <v>0</v>
      </c>
      <c r="I121" s="166"/>
      <c r="J121" s="37">
        <f t="shared" si="9"/>
        <v>0</v>
      </c>
      <c r="K121" s="143">
        <v>0</v>
      </c>
      <c r="L121" s="143"/>
    </row>
    <row r="122" spans="1:13" s="3" customFormat="1" ht="15.75" customHeight="1">
      <c r="A122" s="64" t="s">
        <v>69</v>
      </c>
      <c r="B122" s="31">
        <f aca="true" t="shared" si="10" ref="B122:L122">B114+B115</f>
        <v>80373868770</v>
      </c>
      <c r="C122" s="72">
        <f>C114+C115</f>
        <v>83154179605</v>
      </c>
      <c r="D122" s="72">
        <f t="shared" si="10"/>
        <v>10356540032</v>
      </c>
      <c r="E122" s="72">
        <f t="shared" si="10"/>
        <v>52410769314</v>
      </c>
      <c r="F122" s="72">
        <f>F114+F115</f>
        <v>30743410291</v>
      </c>
      <c r="G122" s="72">
        <f t="shared" si="10"/>
        <v>10765182028</v>
      </c>
      <c r="H122" s="208">
        <f t="shared" si="10"/>
        <v>49784437370</v>
      </c>
      <c r="I122" s="210" t="e">
        <f t="shared" si="10"/>
        <v>#REF!</v>
      </c>
      <c r="J122" s="73">
        <f t="shared" si="10"/>
        <v>33369742235</v>
      </c>
      <c r="K122" s="208">
        <f t="shared" si="10"/>
        <v>46785478910</v>
      </c>
      <c r="L122" s="209" t="e">
        <f t="shared" si="10"/>
        <v>#REF!</v>
      </c>
      <c r="M122" s="74"/>
    </row>
    <row r="123" spans="1:13" s="3" customFormat="1" ht="15.75" customHeight="1">
      <c r="A123" s="64" t="s">
        <v>70</v>
      </c>
      <c r="B123" s="31">
        <v>0</v>
      </c>
      <c r="C123" s="65">
        <v>0</v>
      </c>
      <c r="D123" s="65">
        <f>E90-D122</f>
        <v>5850328.819999695</v>
      </c>
      <c r="E123" s="65">
        <f>G90-E122</f>
        <v>2126752016.9100037</v>
      </c>
      <c r="F123" s="65">
        <f>J92-F122</f>
        <v>-2126752016.9100037</v>
      </c>
      <c r="G123" s="65">
        <v>0</v>
      </c>
      <c r="H123" s="208">
        <f>G90-H122</f>
        <v>4753083960.910004</v>
      </c>
      <c r="I123" s="210"/>
      <c r="J123" s="30">
        <f>J92-J122</f>
        <v>-4753083960.910004</v>
      </c>
      <c r="K123" s="208">
        <f>G90-K122</f>
        <v>7752042420.910004</v>
      </c>
      <c r="L123" s="209"/>
      <c r="M123" s="28"/>
    </row>
    <row r="124" spans="1:12" s="3" customFormat="1" ht="15.75" customHeight="1">
      <c r="A124" s="75" t="s">
        <v>33</v>
      </c>
      <c r="B124" s="76">
        <f>B122+B123</f>
        <v>80373868770</v>
      </c>
      <c r="C124" s="72">
        <f aca="true" t="shared" si="11" ref="C124:H124">C122+C123</f>
        <v>83154179605</v>
      </c>
      <c r="D124" s="72">
        <f>D122+D123</f>
        <v>10362390360.82</v>
      </c>
      <c r="E124" s="72">
        <f t="shared" si="11"/>
        <v>54537521330.91</v>
      </c>
      <c r="F124" s="65">
        <f>F122+F123</f>
        <v>28616658274.089996</v>
      </c>
      <c r="G124" s="65">
        <f t="shared" si="11"/>
        <v>10765182028</v>
      </c>
      <c r="H124" s="208">
        <f t="shared" si="11"/>
        <v>54537521330.91</v>
      </c>
      <c r="I124" s="210"/>
      <c r="J124" s="30">
        <f>J122+J123</f>
        <v>28616658274.089996</v>
      </c>
      <c r="K124" s="208">
        <f>K122+K123</f>
        <v>54537521330.91</v>
      </c>
      <c r="L124" s="209"/>
    </row>
    <row r="125" spans="1:12" s="3" customFormat="1" ht="15.75" customHeight="1">
      <c r="A125" s="75" t="s">
        <v>90</v>
      </c>
      <c r="B125" s="76">
        <v>0</v>
      </c>
      <c r="C125" s="72">
        <v>0</v>
      </c>
      <c r="D125" s="72">
        <v>0</v>
      </c>
      <c r="E125" s="72">
        <v>0</v>
      </c>
      <c r="F125" s="65">
        <v>0</v>
      </c>
      <c r="G125" s="65">
        <v>0</v>
      </c>
      <c r="H125" s="208">
        <v>0</v>
      </c>
      <c r="I125" s="210"/>
      <c r="J125" s="30">
        <v>0</v>
      </c>
      <c r="K125" s="208">
        <v>0</v>
      </c>
      <c r="L125" s="209"/>
    </row>
    <row r="126" spans="1:12" ht="15.75">
      <c r="A126" s="77"/>
      <c r="B126" s="78"/>
      <c r="C126" s="78"/>
      <c r="D126" s="79"/>
      <c r="E126" s="80"/>
      <c r="F126" s="78"/>
      <c r="G126" s="81"/>
      <c r="H126" s="82"/>
      <c r="I126" s="82"/>
      <c r="J126" s="82"/>
      <c r="K126" s="82"/>
      <c r="L126" s="83" t="s">
        <v>101</v>
      </c>
    </row>
    <row r="127" spans="1:12" ht="15">
      <c r="A127" s="77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</row>
    <row r="128" spans="1:12" ht="15.75">
      <c r="A128" s="49"/>
      <c r="B128" s="50"/>
      <c r="C128" s="50"/>
      <c r="D128" s="51"/>
      <c r="E128" s="51"/>
      <c r="F128" s="50"/>
      <c r="G128" s="52"/>
      <c r="H128" s="53"/>
      <c r="I128" s="53"/>
      <c r="J128" s="53"/>
      <c r="K128" s="53"/>
      <c r="L128" s="54"/>
    </row>
    <row r="129" spans="1:12" ht="15.75">
      <c r="A129" s="49"/>
      <c r="B129" s="50"/>
      <c r="C129" s="50"/>
      <c r="D129" s="51"/>
      <c r="E129" s="51"/>
      <c r="F129" s="50"/>
      <c r="G129" s="52"/>
      <c r="H129" s="53"/>
      <c r="I129" s="53"/>
      <c r="J129" s="53"/>
      <c r="K129" s="53"/>
      <c r="L129" s="54"/>
    </row>
    <row r="130" spans="1:12" ht="15.75">
      <c r="A130" s="49"/>
      <c r="B130" s="50"/>
      <c r="C130" s="50"/>
      <c r="D130" s="51"/>
      <c r="E130" s="51"/>
      <c r="F130" s="50"/>
      <c r="G130" s="52"/>
      <c r="H130" s="53"/>
      <c r="I130" s="53"/>
      <c r="J130" s="53"/>
      <c r="K130" s="53"/>
      <c r="L130" s="83" t="s">
        <v>34</v>
      </c>
    </row>
    <row r="131" spans="1:12" ht="16.5">
      <c r="A131" s="154" t="str">
        <f>A6</f>
        <v>GOVERNO DO ESTADO DO RIO DE JANEIRO</v>
      </c>
      <c r="B131" s="154"/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</row>
    <row r="132" spans="1:12" ht="16.5">
      <c r="A132" s="155" t="str">
        <f>A7</f>
        <v>RELATÓRIO RESUMIDO DA EXECUÇÃO ORÇAMENTÁRIA</v>
      </c>
      <c r="B132" s="154"/>
      <c r="C132" s="154"/>
      <c r="D132" s="154"/>
      <c r="E132" s="154"/>
      <c r="F132" s="154"/>
      <c r="G132" s="154"/>
      <c r="H132" s="154"/>
      <c r="I132" s="154"/>
      <c r="J132" s="154"/>
      <c r="K132" s="154"/>
      <c r="L132" s="154"/>
    </row>
    <row r="133" spans="1:12" ht="16.5">
      <c r="A133" s="211" t="str">
        <f>A8</f>
        <v>BALANÇO ORÇAMENTÁRIO</v>
      </c>
      <c r="B133" s="211"/>
      <c r="C133" s="211"/>
      <c r="D133" s="211"/>
      <c r="E133" s="211"/>
      <c r="F133" s="211"/>
      <c r="G133" s="211"/>
      <c r="H133" s="211"/>
      <c r="I133" s="211"/>
      <c r="J133" s="211"/>
      <c r="K133" s="211"/>
      <c r="L133" s="211"/>
    </row>
    <row r="134" spans="1:12" ht="16.5">
      <c r="A134" s="154" t="str">
        <f>A9</f>
        <v>ORÇAMENTOS FISCAL E DA SEGURIDADE SOCIAL</v>
      </c>
      <c r="B134" s="154"/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</row>
    <row r="135" spans="1:12" ht="16.5">
      <c r="A135" s="155" t="str">
        <f>A10</f>
        <v>JANEIRO A OUTUBRO 2019/BIMESTRE SETEMBRO-OUTUBRO</v>
      </c>
      <c r="B135" s="154"/>
      <c r="C135" s="154"/>
      <c r="D135" s="154"/>
      <c r="E135" s="154"/>
      <c r="F135" s="154"/>
      <c r="G135" s="154"/>
      <c r="H135" s="154"/>
      <c r="I135" s="154"/>
      <c r="J135" s="154"/>
      <c r="K135" s="154"/>
      <c r="L135" s="154"/>
    </row>
    <row r="136" spans="1:12" ht="16.5">
      <c r="A136" s="84"/>
      <c r="B136" s="85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</row>
    <row r="137" spans="1:12" ht="15.75">
      <c r="A137" s="86"/>
      <c r="B137" s="86"/>
      <c r="C137" s="108"/>
      <c r="D137" s="108"/>
      <c r="E137" s="108"/>
      <c r="F137" s="108"/>
      <c r="G137" s="108"/>
      <c r="H137" s="86"/>
      <c r="I137" s="87"/>
      <c r="J137" s="87"/>
      <c r="K137" s="87"/>
      <c r="L137" s="128" t="str">
        <f>L12</f>
        <v>Emissão: 18/11/2019</v>
      </c>
    </row>
    <row r="138" spans="1:12" ht="15.75">
      <c r="A138" s="88" t="str">
        <f>A13</f>
        <v>RREO - Anexo 1 (LRF, Art. 52, inciso I, alíneas "a" e "b" do inciso II e §1º)</v>
      </c>
      <c r="B138" s="89"/>
      <c r="C138" s="127"/>
      <c r="D138" s="127"/>
      <c r="E138" s="127"/>
      <c r="F138" s="127"/>
      <c r="G138" s="127"/>
      <c r="H138" s="127"/>
      <c r="I138" s="87"/>
      <c r="J138" s="90"/>
      <c r="K138" s="91"/>
      <c r="L138" s="90">
        <v>1</v>
      </c>
    </row>
    <row r="139" spans="1:12" ht="15.75">
      <c r="A139" s="202" t="s">
        <v>4</v>
      </c>
      <c r="B139" s="203"/>
      <c r="C139" s="192" t="s">
        <v>72</v>
      </c>
      <c r="D139" s="104" t="s">
        <v>87</v>
      </c>
      <c r="E139" s="195" t="s">
        <v>3</v>
      </c>
      <c r="F139" s="196"/>
      <c r="G139" s="196"/>
      <c r="H139" s="196"/>
      <c r="I139" s="197"/>
      <c r="J139" s="198" t="s">
        <v>73</v>
      </c>
      <c r="K139" s="212"/>
      <c r="L139" s="212"/>
    </row>
    <row r="140" spans="1:12" ht="15.75">
      <c r="A140" s="204"/>
      <c r="B140" s="205"/>
      <c r="C140" s="193"/>
      <c r="D140" s="105" t="s">
        <v>6</v>
      </c>
      <c r="E140" s="104" t="s">
        <v>7</v>
      </c>
      <c r="F140" s="106" t="s">
        <v>8</v>
      </c>
      <c r="G140" s="198" t="s">
        <v>9</v>
      </c>
      <c r="H140" s="199"/>
      <c r="I140" s="106" t="s">
        <v>8</v>
      </c>
      <c r="J140" s="200"/>
      <c r="K140" s="201"/>
      <c r="L140" s="201"/>
    </row>
    <row r="141" spans="1:12" ht="15.75">
      <c r="A141" s="206"/>
      <c r="B141" s="207"/>
      <c r="C141" s="194"/>
      <c r="D141" s="107" t="s">
        <v>10</v>
      </c>
      <c r="E141" s="107" t="s">
        <v>11</v>
      </c>
      <c r="F141" s="107" t="s">
        <v>12</v>
      </c>
      <c r="G141" s="183" t="s">
        <v>74</v>
      </c>
      <c r="H141" s="184"/>
      <c r="I141" s="107" t="s">
        <v>13</v>
      </c>
      <c r="J141" s="183" t="s">
        <v>14</v>
      </c>
      <c r="K141" s="185"/>
      <c r="L141" s="185"/>
    </row>
    <row r="142" spans="1:12" ht="15.75">
      <c r="A142" s="186" t="s">
        <v>56</v>
      </c>
      <c r="B142" s="187"/>
      <c r="C142" s="14">
        <f>C143+C183</f>
        <v>5507654646</v>
      </c>
      <c r="D142" s="15">
        <f>D143+D183</f>
        <v>5897007777</v>
      </c>
      <c r="E142" s="16">
        <f>E143+E183</f>
        <v>1355513899.8799999</v>
      </c>
      <c r="F142" s="17">
        <f aca="true" t="shared" si="12" ref="F142:F148">(E142/D142)*100</f>
        <v>22.986469598478195</v>
      </c>
      <c r="G142" s="188">
        <f>G143+G183</f>
        <v>5531390660.33</v>
      </c>
      <c r="H142" s="189"/>
      <c r="I142" s="17">
        <f aca="true" t="shared" si="13" ref="I142:I148">(G142/D142)*100</f>
        <v>93.79995532486815</v>
      </c>
      <c r="J142" s="190">
        <f aca="true" t="shared" si="14" ref="J142:J157">D142-G142</f>
        <v>365617116.6700001</v>
      </c>
      <c r="K142" s="191"/>
      <c r="L142" s="191"/>
    </row>
    <row r="143" spans="1:12" ht="15.75">
      <c r="A143" s="177" t="s">
        <v>35</v>
      </c>
      <c r="B143" s="177"/>
      <c r="C143" s="19">
        <f>C144+C148+C153+C161+C162+C163+C169+C178</f>
        <v>5507654646</v>
      </c>
      <c r="D143" s="20">
        <f>D144+D148+D153+D161+D162+D163+D169+D178</f>
        <v>5668692538</v>
      </c>
      <c r="E143" s="16">
        <f>E144+E148+E153+E161+E162+E163+E169+E178</f>
        <v>1355477789.8</v>
      </c>
      <c r="F143" s="21">
        <f t="shared" si="12"/>
        <v>23.911647716181005</v>
      </c>
      <c r="G143" s="181">
        <f>G144+G148+G153+G161+G162+G163+G169+G178</f>
        <v>5531151176.25</v>
      </c>
      <c r="H143" s="182"/>
      <c r="I143" s="21">
        <f t="shared" si="13"/>
        <v>97.57366692887305</v>
      </c>
      <c r="J143" s="175">
        <f t="shared" si="14"/>
        <v>137541361.75</v>
      </c>
      <c r="K143" s="176"/>
      <c r="L143" s="176"/>
    </row>
    <row r="144" spans="1:12" ht="15.75">
      <c r="A144" s="141" t="s">
        <v>142</v>
      </c>
      <c r="B144" s="141"/>
      <c r="C144" s="23">
        <f>C145+C146+C147</f>
        <v>0</v>
      </c>
      <c r="D144" s="24">
        <f>D145+D146+D147</f>
        <v>0</v>
      </c>
      <c r="E144" s="25">
        <f>E145+E146+E147</f>
        <v>0</v>
      </c>
      <c r="F144" s="26">
        <v>0</v>
      </c>
      <c r="G144" s="178">
        <f>G145+G146+G147</f>
        <v>0</v>
      </c>
      <c r="H144" s="179" t="e">
        <f>H145+H146+#REF!</f>
        <v>#REF!</v>
      </c>
      <c r="I144" s="26">
        <v>0</v>
      </c>
      <c r="J144" s="133">
        <f t="shared" si="14"/>
        <v>0</v>
      </c>
      <c r="K144" s="134"/>
      <c r="L144" s="134"/>
    </row>
    <row r="145" spans="1:12" ht="15.75">
      <c r="A145" s="141" t="s">
        <v>36</v>
      </c>
      <c r="B145" s="141"/>
      <c r="C145" s="23">
        <v>0</v>
      </c>
      <c r="D145" s="24">
        <v>0</v>
      </c>
      <c r="E145" s="25">
        <f>G145</f>
        <v>0</v>
      </c>
      <c r="F145" s="26">
        <v>0</v>
      </c>
      <c r="G145" s="135">
        <v>0</v>
      </c>
      <c r="H145" s="136"/>
      <c r="I145" s="26">
        <v>0</v>
      </c>
      <c r="J145" s="133">
        <f t="shared" si="14"/>
        <v>0</v>
      </c>
      <c r="K145" s="134"/>
      <c r="L145" s="134"/>
    </row>
    <row r="146" spans="1:12" ht="15.75">
      <c r="A146" s="141" t="s">
        <v>37</v>
      </c>
      <c r="B146" s="141"/>
      <c r="C146" s="23">
        <v>0</v>
      </c>
      <c r="D146" s="24">
        <v>0</v>
      </c>
      <c r="E146" s="25">
        <f>G146</f>
        <v>0</v>
      </c>
      <c r="F146" s="26">
        <v>0</v>
      </c>
      <c r="G146" s="135">
        <v>0</v>
      </c>
      <c r="H146" s="136"/>
      <c r="I146" s="26">
        <v>0</v>
      </c>
      <c r="J146" s="133">
        <f t="shared" si="14"/>
        <v>0</v>
      </c>
      <c r="K146" s="134"/>
      <c r="L146" s="134"/>
    </row>
    <row r="147" spans="1:12" ht="15.75">
      <c r="A147" s="180" t="s">
        <v>145</v>
      </c>
      <c r="B147" s="180"/>
      <c r="C147" s="35">
        <v>0</v>
      </c>
      <c r="D147" s="24">
        <v>0</v>
      </c>
      <c r="E147" s="25">
        <f>G147</f>
        <v>0</v>
      </c>
      <c r="F147" s="26">
        <v>0</v>
      </c>
      <c r="G147" s="135">
        <v>0</v>
      </c>
      <c r="H147" s="136"/>
      <c r="I147" s="26">
        <v>0</v>
      </c>
      <c r="J147" s="133">
        <f>D147-G147</f>
        <v>0</v>
      </c>
      <c r="K147" s="134"/>
      <c r="L147" s="134"/>
    </row>
    <row r="148" spans="1:12" ht="15.75">
      <c r="A148" s="141" t="s">
        <v>38</v>
      </c>
      <c r="B148" s="141"/>
      <c r="C148" s="23">
        <f>C150+C149+C151+C152</f>
        <v>3703899914</v>
      </c>
      <c r="D148" s="24">
        <f>D150+D149+D151+D152</f>
        <v>3703899914</v>
      </c>
      <c r="E148" s="25">
        <f>E150+E149+E151+E152</f>
        <v>599491082</v>
      </c>
      <c r="F148" s="26">
        <f t="shared" si="12"/>
        <v>16.185401763531562</v>
      </c>
      <c r="G148" s="178">
        <f>G149+G150+G151+G152</f>
        <v>3065570906</v>
      </c>
      <c r="H148" s="179"/>
      <c r="I148" s="26">
        <f t="shared" si="13"/>
        <v>82.76602978424864</v>
      </c>
      <c r="J148" s="133">
        <f t="shared" si="14"/>
        <v>638329008</v>
      </c>
      <c r="K148" s="134"/>
      <c r="L148" s="134"/>
    </row>
    <row r="149" spans="1:12" ht="15.75">
      <c r="A149" s="141" t="s">
        <v>39</v>
      </c>
      <c r="B149" s="141"/>
      <c r="C149" s="23">
        <v>3703899914</v>
      </c>
      <c r="D149" s="24">
        <v>3703899914</v>
      </c>
      <c r="E149" s="25">
        <f>G149-2466079824</f>
        <v>599491082</v>
      </c>
      <c r="F149" s="26">
        <f>(E149/D149)*100</f>
        <v>16.185401763531562</v>
      </c>
      <c r="G149" s="135">
        <v>3065570906</v>
      </c>
      <c r="H149" s="136"/>
      <c r="I149" s="26">
        <f>(G149/D149)*100</f>
        <v>82.76602978424864</v>
      </c>
      <c r="J149" s="133">
        <f t="shared" si="14"/>
        <v>638329008</v>
      </c>
      <c r="K149" s="134"/>
      <c r="L149" s="134"/>
    </row>
    <row r="150" spans="1:12" ht="15.75">
      <c r="A150" s="141" t="s">
        <v>100</v>
      </c>
      <c r="B150" s="141"/>
      <c r="C150" s="23">
        <v>0</v>
      </c>
      <c r="D150" s="24">
        <v>0</v>
      </c>
      <c r="E150" s="25">
        <f>G150</f>
        <v>0</v>
      </c>
      <c r="F150" s="26">
        <v>0</v>
      </c>
      <c r="G150" s="135">
        <v>0</v>
      </c>
      <c r="H150" s="136"/>
      <c r="I150" s="26">
        <v>0</v>
      </c>
      <c r="J150" s="133">
        <f t="shared" si="14"/>
        <v>0</v>
      </c>
      <c r="K150" s="134"/>
      <c r="L150" s="134"/>
    </row>
    <row r="151" spans="1:12" ht="15.75">
      <c r="A151" s="141" t="s">
        <v>118</v>
      </c>
      <c r="B151" s="141"/>
      <c r="C151" s="23">
        <v>0</v>
      </c>
      <c r="D151" s="24">
        <v>0</v>
      </c>
      <c r="E151" s="25">
        <f>G151</f>
        <v>0</v>
      </c>
      <c r="F151" s="26">
        <v>0</v>
      </c>
      <c r="G151" s="135">
        <v>0</v>
      </c>
      <c r="H151" s="136"/>
      <c r="I151" s="26">
        <v>0</v>
      </c>
      <c r="J151" s="137">
        <f t="shared" si="14"/>
        <v>0</v>
      </c>
      <c r="K151" s="138"/>
      <c r="L151" s="138"/>
    </row>
    <row r="152" spans="1:12" ht="15.75">
      <c r="A152" s="141" t="s">
        <v>119</v>
      </c>
      <c r="B152" s="141"/>
      <c r="C152" s="23">
        <v>0</v>
      </c>
      <c r="D152" s="24">
        <v>0</v>
      </c>
      <c r="E152" s="25">
        <f>G152</f>
        <v>0</v>
      </c>
      <c r="F152" s="26">
        <v>0</v>
      </c>
      <c r="G152" s="135">
        <v>0</v>
      </c>
      <c r="H152" s="136"/>
      <c r="I152" s="26">
        <v>0</v>
      </c>
      <c r="J152" s="137">
        <f t="shared" si="14"/>
        <v>0</v>
      </c>
      <c r="K152" s="138"/>
      <c r="L152" s="138"/>
    </row>
    <row r="153" spans="1:12" ht="15.75">
      <c r="A153" s="141" t="s">
        <v>40</v>
      </c>
      <c r="B153" s="141"/>
      <c r="C153" s="23">
        <f>SUM(C154:C160)</f>
        <v>15614378</v>
      </c>
      <c r="D153" s="24">
        <f>SUM(D154:D160)</f>
        <v>15614378</v>
      </c>
      <c r="E153" s="25">
        <f>SUM(E154:E160)</f>
        <v>1749683</v>
      </c>
      <c r="F153" s="26">
        <f>(E153/D153)*100</f>
        <v>11.205588848944222</v>
      </c>
      <c r="G153" s="178">
        <f>SUM(G154:H160)</f>
        <v>9765248</v>
      </c>
      <c r="H153" s="179">
        <f>SUM(H154:H160)</f>
        <v>0</v>
      </c>
      <c r="I153" s="26">
        <f>(G153/D153)*100</f>
        <v>62.54010246197447</v>
      </c>
      <c r="J153" s="133">
        <f t="shared" si="14"/>
        <v>5849130</v>
      </c>
      <c r="K153" s="134"/>
      <c r="L153" s="134"/>
    </row>
    <row r="154" spans="1:12" ht="15.75">
      <c r="A154" s="141" t="s">
        <v>120</v>
      </c>
      <c r="B154" s="141"/>
      <c r="C154" s="23">
        <v>15614378</v>
      </c>
      <c r="D154" s="24">
        <v>15614378</v>
      </c>
      <c r="E154" s="25">
        <f>G154-8015565</f>
        <v>1749683</v>
      </c>
      <c r="F154" s="26">
        <f>(E154/D154)*100</f>
        <v>11.205588848944222</v>
      </c>
      <c r="G154" s="135">
        <v>9765248</v>
      </c>
      <c r="H154" s="136"/>
      <c r="I154" s="26">
        <f>(G154/D154)*100</f>
        <v>62.54010246197447</v>
      </c>
      <c r="J154" s="133">
        <f t="shared" si="14"/>
        <v>5849130</v>
      </c>
      <c r="K154" s="134"/>
      <c r="L154" s="134"/>
    </row>
    <row r="155" spans="1:12" ht="15.75">
      <c r="A155" s="141" t="s">
        <v>121</v>
      </c>
      <c r="B155" s="141"/>
      <c r="C155" s="23">
        <v>0</v>
      </c>
      <c r="D155" s="24">
        <v>0</v>
      </c>
      <c r="E155" s="25">
        <f aca="true" t="shared" si="15" ref="E155:E162">G155</f>
        <v>0</v>
      </c>
      <c r="F155" s="26">
        <v>0</v>
      </c>
      <c r="G155" s="135">
        <v>0</v>
      </c>
      <c r="H155" s="136"/>
      <c r="I155" s="26">
        <v>0</v>
      </c>
      <c r="J155" s="133">
        <f t="shared" si="14"/>
        <v>0</v>
      </c>
      <c r="K155" s="134"/>
      <c r="L155" s="134"/>
    </row>
    <row r="156" spans="1:12" ht="15.75">
      <c r="A156" s="141" t="s">
        <v>124</v>
      </c>
      <c r="B156" s="141"/>
      <c r="C156" s="23">
        <v>0</v>
      </c>
      <c r="D156" s="24">
        <v>0</v>
      </c>
      <c r="E156" s="25">
        <f t="shared" si="15"/>
        <v>0</v>
      </c>
      <c r="F156" s="26">
        <v>0</v>
      </c>
      <c r="G156" s="135">
        <v>0</v>
      </c>
      <c r="H156" s="136"/>
      <c r="I156" s="26">
        <v>0</v>
      </c>
      <c r="J156" s="133">
        <f t="shared" si="14"/>
        <v>0</v>
      </c>
      <c r="K156" s="134"/>
      <c r="L156" s="134"/>
    </row>
    <row r="157" spans="1:12" ht="15.75">
      <c r="A157" s="141" t="s">
        <v>122</v>
      </c>
      <c r="B157" s="141"/>
      <c r="C157" s="23">
        <v>0</v>
      </c>
      <c r="D157" s="24">
        <v>0</v>
      </c>
      <c r="E157" s="25">
        <f t="shared" si="15"/>
        <v>0</v>
      </c>
      <c r="F157" s="26">
        <v>0</v>
      </c>
      <c r="G157" s="135">
        <v>0</v>
      </c>
      <c r="H157" s="136"/>
      <c r="I157" s="26">
        <v>0</v>
      </c>
      <c r="J157" s="133">
        <f t="shared" si="14"/>
        <v>0</v>
      </c>
      <c r="K157" s="134"/>
      <c r="L157" s="134"/>
    </row>
    <row r="158" spans="1:12" ht="15" customHeight="1">
      <c r="A158" s="141" t="s">
        <v>123</v>
      </c>
      <c r="B158" s="141"/>
      <c r="C158" s="23">
        <v>0</v>
      </c>
      <c r="D158" s="24">
        <v>0</v>
      </c>
      <c r="E158" s="25">
        <f t="shared" si="15"/>
        <v>0</v>
      </c>
      <c r="F158" s="26">
        <v>0</v>
      </c>
      <c r="G158" s="135">
        <v>0</v>
      </c>
      <c r="H158" s="136"/>
      <c r="I158" s="26">
        <v>0</v>
      </c>
      <c r="J158" s="133">
        <f aca="true" t="shared" si="16" ref="J158:J177">D158-G158</f>
        <v>0</v>
      </c>
      <c r="K158" s="134"/>
      <c r="L158" s="134"/>
    </row>
    <row r="159" spans="1:12" ht="15.75">
      <c r="A159" s="141" t="s">
        <v>126</v>
      </c>
      <c r="B159" s="141"/>
      <c r="C159" s="23">
        <v>0</v>
      </c>
      <c r="D159" s="24">
        <v>0</v>
      </c>
      <c r="E159" s="25">
        <f t="shared" si="15"/>
        <v>0</v>
      </c>
      <c r="F159" s="26">
        <v>0</v>
      </c>
      <c r="G159" s="135">
        <v>0</v>
      </c>
      <c r="H159" s="136"/>
      <c r="I159" s="26">
        <v>0</v>
      </c>
      <c r="J159" s="133">
        <f t="shared" si="16"/>
        <v>0</v>
      </c>
      <c r="K159" s="134"/>
      <c r="L159" s="134"/>
    </row>
    <row r="160" spans="1:12" ht="15.75">
      <c r="A160" s="141" t="s">
        <v>125</v>
      </c>
      <c r="B160" s="141"/>
      <c r="C160" s="23">
        <v>0</v>
      </c>
      <c r="D160" s="24">
        <v>0</v>
      </c>
      <c r="E160" s="25">
        <f t="shared" si="15"/>
        <v>0</v>
      </c>
      <c r="F160" s="26">
        <v>0</v>
      </c>
      <c r="G160" s="135">
        <v>0</v>
      </c>
      <c r="H160" s="136"/>
      <c r="I160" s="26">
        <v>0</v>
      </c>
      <c r="J160" s="133">
        <f t="shared" si="16"/>
        <v>0</v>
      </c>
      <c r="K160" s="134"/>
      <c r="L160" s="134"/>
    </row>
    <row r="161" spans="1:12" ht="15.75">
      <c r="A161" s="141" t="s">
        <v>41</v>
      </c>
      <c r="B161" s="141"/>
      <c r="C161" s="23">
        <v>0</v>
      </c>
      <c r="D161" s="24">
        <v>0</v>
      </c>
      <c r="E161" s="25">
        <f t="shared" si="15"/>
        <v>0</v>
      </c>
      <c r="F161" s="26">
        <v>0</v>
      </c>
      <c r="G161" s="178">
        <v>0</v>
      </c>
      <c r="H161" s="179"/>
      <c r="I161" s="26">
        <v>0</v>
      </c>
      <c r="J161" s="133">
        <f t="shared" si="16"/>
        <v>0</v>
      </c>
      <c r="K161" s="134"/>
      <c r="L161" s="134"/>
    </row>
    <row r="162" spans="1:12" ht="15.75">
      <c r="A162" s="141" t="s">
        <v>42</v>
      </c>
      <c r="B162" s="141"/>
      <c r="C162" s="23">
        <v>0</v>
      </c>
      <c r="D162" s="24">
        <v>0</v>
      </c>
      <c r="E162" s="25">
        <f t="shared" si="15"/>
        <v>0</v>
      </c>
      <c r="F162" s="26">
        <v>0</v>
      </c>
      <c r="G162" s="178">
        <v>0</v>
      </c>
      <c r="H162" s="179"/>
      <c r="I162" s="26">
        <v>0</v>
      </c>
      <c r="J162" s="133">
        <f t="shared" si="16"/>
        <v>0</v>
      </c>
      <c r="K162" s="134"/>
      <c r="L162" s="134"/>
    </row>
    <row r="163" spans="1:12" ht="15.75">
      <c r="A163" s="141" t="s">
        <v>43</v>
      </c>
      <c r="B163" s="141"/>
      <c r="C163" s="23">
        <f>SUM(C164:C168)</f>
        <v>695646467</v>
      </c>
      <c r="D163" s="24">
        <f>SUM(D164:D168)</f>
        <v>695646467</v>
      </c>
      <c r="E163" s="25">
        <f>SUM(E164:E168)</f>
        <v>74110237.79999997</v>
      </c>
      <c r="F163" s="26">
        <f>(E163/D163)*100</f>
        <v>10.653434081194</v>
      </c>
      <c r="G163" s="178">
        <f>SUM(G164:H168)</f>
        <v>451046058.25</v>
      </c>
      <c r="H163" s="179"/>
      <c r="I163" s="26">
        <f>(G163/D163)*100</f>
        <v>64.83840278743197</v>
      </c>
      <c r="J163" s="133">
        <f t="shared" si="16"/>
        <v>244600408.75</v>
      </c>
      <c r="K163" s="134"/>
      <c r="L163" s="134"/>
    </row>
    <row r="164" spans="1:12" ht="15.75">
      <c r="A164" s="141" t="s">
        <v>113</v>
      </c>
      <c r="B164" s="141"/>
      <c r="C164" s="23">
        <v>6318927</v>
      </c>
      <c r="D164" s="24">
        <v>6318927</v>
      </c>
      <c r="E164" s="25">
        <f>G164-492649</f>
        <v>54185</v>
      </c>
      <c r="F164" s="26">
        <f>(E164/D164)*100</f>
        <v>0.8575031805241619</v>
      </c>
      <c r="G164" s="135">
        <v>546834</v>
      </c>
      <c r="H164" s="136"/>
      <c r="I164" s="26">
        <f>(G164/D164)*100</f>
        <v>8.653905955868774</v>
      </c>
      <c r="J164" s="133">
        <f t="shared" si="16"/>
        <v>5772093</v>
      </c>
      <c r="K164" s="134"/>
      <c r="L164" s="134"/>
    </row>
    <row r="165" spans="1:12" ht="15.75">
      <c r="A165" s="141" t="s">
        <v>114</v>
      </c>
      <c r="B165" s="141"/>
      <c r="C165" s="23">
        <v>0</v>
      </c>
      <c r="D165" s="24">
        <v>0</v>
      </c>
      <c r="E165" s="25">
        <f>G165</f>
        <v>0</v>
      </c>
      <c r="F165" s="26">
        <v>0</v>
      </c>
      <c r="G165" s="135">
        <v>0</v>
      </c>
      <c r="H165" s="136"/>
      <c r="I165" s="26">
        <v>0</v>
      </c>
      <c r="J165" s="137">
        <f t="shared" si="16"/>
        <v>0</v>
      </c>
      <c r="K165" s="138"/>
      <c r="L165" s="138"/>
    </row>
    <row r="166" spans="1:12" ht="15.75">
      <c r="A166" s="141" t="s">
        <v>115</v>
      </c>
      <c r="B166" s="141"/>
      <c r="C166" s="23">
        <v>684571540</v>
      </c>
      <c r="D166" s="24">
        <v>684571540</v>
      </c>
      <c r="E166" s="25">
        <f>G166-245370367.44</f>
        <v>60007759.26999998</v>
      </c>
      <c r="F166" s="26">
        <f>(E166/D166)*100</f>
        <v>8.765739701945538</v>
      </c>
      <c r="G166" s="135">
        <v>305378126.71</v>
      </c>
      <c r="H166" s="136"/>
      <c r="I166" s="26">
        <f>(G166/D166)*100</f>
        <v>44.60865064738157</v>
      </c>
      <c r="J166" s="137">
        <f t="shared" si="16"/>
        <v>379193413.29</v>
      </c>
      <c r="K166" s="138"/>
      <c r="L166" s="138"/>
    </row>
    <row r="167" spans="1:12" ht="15.75">
      <c r="A167" s="141" t="s">
        <v>116</v>
      </c>
      <c r="B167" s="141"/>
      <c r="C167" s="23">
        <v>0</v>
      </c>
      <c r="D167" s="24">
        <v>0</v>
      </c>
      <c r="E167" s="25">
        <f>G167</f>
        <v>0</v>
      </c>
      <c r="F167" s="26">
        <v>0</v>
      </c>
      <c r="G167" s="135">
        <v>0</v>
      </c>
      <c r="H167" s="136"/>
      <c r="I167" s="26">
        <v>0</v>
      </c>
      <c r="J167" s="137">
        <f t="shared" si="16"/>
        <v>0</v>
      </c>
      <c r="K167" s="138"/>
      <c r="L167" s="138"/>
    </row>
    <row r="168" spans="1:12" ht="15.75">
      <c r="A168" s="141" t="s">
        <v>117</v>
      </c>
      <c r="B168" s="141"/>
      <c r="C168" s="23">
        <v>4756000</v>
      </c>
      <c r="D168" s="24">
        <v>4756000</v>
      </c>
      <c r="E168" s="25">
        <f>G168-131072804.01</f>
        <v>14048293.529999986</v>
      </c>
      <c r="F168" s="26">
        <f>(E168/D168)*100</f>
        <v>295.3804358704791</v>
      </c>
      <c r="G168" s="135">
        <v>145121097.54</v>
      </c>
      <c r="H168" s="136"/>
      <c r="I168" s="26">
        <f>(G168/D168)*100</f>
        <v>3051.3266934398653</v>
      </c>
      <c r="J168" s="137">
        <f t="shared" si="16"/>
        <v>-140365097.54</v>
      </c>
      <c r="K168" s="138"/>
      <c r="L168" s="138"/>
    </row>
    <row r="169" spans="1:12" ht="15.75">
      <c r="A169" s="141" t="s">
        <v>44</v>
      </c>
      <c r="B169" s="141"/>
      <c r="C169" s="23">
        <f>SUM(C170:C177)</f>
        <v>96079780</v>
      </c>
      <c r="D169" s="24">
        <f>SUM(D170:D177)</f>
        <v>96079780</v>
      </c>
      <c r="E169" s="25">
        <f>SUM(E170:E177)</f>
        <v>0</v>
      </c>
      <c r="F169" s="26">
        <f>(E169/D169)*100</f>
        <v>0</v>
      </c>
      <c r="G169" s="178">
        <f>SUM(G170:H177)</f>
        <v>0</v>
      </c>
      <c r="H169" s="179">
        <f>SUM(H170:H174)</f>
        <v>0</v>
      </c>
      <c r="I169" s="26">
        <f>(G169/D169)*100</f>
        <v>0</v>
      </c>
      <c r="J169" s="133">
        <f t="shared" si="16"/>
        <v>96079780</v>
      </c>
      <c r="K169" s="134"/>
      <c r="L169" s="134"/>
    </row>
    <row r="170" spans="1:12" ht="15.75">
      <c r="A170" s="141" t="s">
        <v>108</v>
      </c>
      <c r="B170" s="141"/>
      <c r="C170" s="23">
        <v>0</v>
      </c>
      <c r="D170" s="24">
        <v>0</v>
      </c>
      <c r="E170" s="25">
        <f aca="true" t="shared" si="17" ref="E170:E177">G170</f>
        <v>0</v>
      </c>
      <c r="F170" s="26">
        <v>0</v>
      </c>
      <c r="G170" s="135">
        <v>0</v>
      </c>
      <c r="H170" s="136"/>
      <c r="I170" s="26">
        <v>0</v>
      </c>
      <c r="J170" s="133">
        <f t="shared" si="16"/>
        <v>0</v>
      </c>
      <c r="K170" s="134"/>
      <c r="L170" s="134"/>
    </row>
    <row r="171" spans="1:12" ht="15.75">
      <c r="A171" s="141" t="s">
        <v>109</v>
      </c>
      <c r="B171" s="141"/>
      <c r="C171" s="23">
        <v>96079780</v>
      </c>
      <c r="D171" s="24">
        <v>96079780</v>
      </c>
      <c r="E171" s="25">
        <f t="shared" si="17"/>
        <v>0</v>
      </c>
      <c r="F171" s="26">
        <f>(E171/D171)*100</f>
        <v>0</v>
      </c>
      <c r="G171" s="135">
        <v>0</v>
      </c>
      <c r="H171" s="136"/>
      <c r="I171" s="26">
        <f>(G171/D171)*100</f>
        <v>0</v>
      </c>
      <c r="J171" s="133">
        <f t="shared" si="16"/>
        <v>96079780</v>
      </c>
      <c r="K171" s="134"/>
      <c r="L171" s="134"/>
    </row>
    <row r="172" spans="1:12" ht="15.75">
      <c r="A172" s="141" t="s">
        <v>110</v>
      </c>
      <c r="B172" s="141"/>
      <c r="C172" s="23">
        <v>0</v>
      </c>
      <c r="D172" s="24">
        <v>0</v>
      </c>
      <c r="E172" s="25">
        <f t="shared" si="17"/>
        <v>0</v>
      </c>
      <c r="F172" s="26">
        <v>0</v>
      </c>
      <c r="G172" s="135">
        <v>0</v>
      </c>
      <c r="H172" s="136"/>
      <c r="I172" s="26">
        <v>0</v>
      </c>
      <c r="J172" s="133">
        <f t="shared" si="16"/>
        <v>0</v>
      </c>
      <c r="K172" s="134"/>
      <c r="L172" s="134"/>
    </row>
    <row r="173" spans="1:12" ht="15.75">
      <c r="A173" s="141" t="s">
        <v>45</v>
      </c>
      <c r="B173" s="141"/>
      <c r="C173" s="23">
        <v>0</v>
      </c>
      <c r="D173" s="24">
        <v>0</v>
      </c>
      <c r="E173" s="25">
        <f t="shared" si="17"/>
        <v>0</v>
      </c>
      <c r="F173" s="26">
        <v>0</v>
      </c>
      <c r="G173" s="135">
        <v>0</v>
      </c>
      <c r="H173" s="136"/>
      <c r="I173" s="26">
        <v>0</v>
      </c>
      <c r="J173" s="133">
        <f t="shared" si="16"/>
        <v>0</v>
      </c>
      <c r="K173" s="134"/>
      <c r="L173" s="134"/>
    </row>
    <row r="174" spans="1:12" ht="15.75">
      <c r="A174" s="141" t="s">
        <v>91</v>
      </c>
      <c r="B174" s="141"/>
      <c r="C174" s="23">
        <v>0</v>
      </c>
      <c r="D174" s="24">
        <v>0</v>
      </c>
      <c r="E174" s="25">
        <f t="shared" si="17"/>
        <v>0</v>
      </c>
      <c r="F174" s="26">
        <v>0</v>
      </c>
      <c r="G174" s="135">
        <v>0</v>
      </c>
      <c r="H174" s="136"/>
      <c r="I174" s="26">
        <v>0</v>
      </c>
      <c r="J174" s="133">
        <f t="shared" si="16"/>
        <v>0</v>
      </c>
      <c r="K174" s="134"/>
      <c r="L174" s="134"/>
    </row>
    <row r="175" spans="1:12" ht="15.75">
      <c r="A175" s="141" t="s">
        <v>46</v>
      </c>
      <c r="B175" s="141"/>
      <c r="C175" s="23">
        <v>0</v>
      </c>
      <c r="D175" s="24">
        <v>0</v>
      </c>
      <c r="E175" s="25">
        <f t="shared" si="17"/>
        <v>0</v>
      </c>
      <c r="F175" s="26">
        <v>0</v>
      </c>
      <c r="G175" s="135">
        <v>0</v>
      </c>
      <c r="H175" s="136"/>
      <c r="I175" s="26">
        <v>0</v>
      </c>
      <c r="J175" s="137">
        <f t="shared" si="16"/>
        <v>0</v>
      </c>
      <c r="K175" s="138"/>
      <c r="L175" s="138"/>
    </row>
    <row r="176" spans="1:12" ht="15.75">
      <c r="A176" s="141" t="s">
        <v>111</v>
      </c>
      <c r="B176" s="141"/>
      <c r="C176" s="23">
        <v>0</v>
      </c>
      <c r="D176" s="24">
        <v>0</v>
      </c>
      <c r="E176" s="25">
        <f t="shared" si="17"/>
        <v>0</v>
      </c>
      <c r="F176" s="26">
        <v>0</v>
      </c>
      <c r="G176" s="135">
        <v>0</v>
      </c>
      <c r="H176" s="136"/>
      <c r="I176" s="26">
        <v>0</v>
      </c>
      <c r="J176" s="137">
        <f t="shared" si="16"/>
        <v>0</v>
      </c>
      <c r="K176" s="138"/>
      <c r="L176" s="138"/>
    </row>
    <row r="177" spans="1:12" ht="15.75">
      <c r="A177" s="141" t="s">
        <v>112</v>
      </c>
      <c r="B177" s="141"/>
      <c r="C177" s="23">
        <v>0</v>
      </c>
      <c r="D177" s="24">
        <v>0</v>
      </c>
      <c r="E177" s="25">
        <f t="shared" si="17"/>
        <v>0</v>
      </c>
      <c r="F177" s="26">
        <v>0</v>
      </c>
      <c r="G177" s="135">
        <v>0</v>
      </c>
      <c r="H177" s="136"/>
      <c r="I177" s="26">
        <v>0</v>
      </c>
      <c r="J177" s="137">
        <f t="shared" si="16"/>
        <v>0</v>
      </c>
      <c r="K177" s="138"/>
      <c r="L177" s="138"/>
    </row>
    <row r="178" spans="1:12" ht="15.75">
      <c r="A178" s="141" t="s">
        <v>47</v>
      </c>
      <c r="B178" s="141"/>
      <c r="C178" s="23">
        <f>SUM(C179:C182)</f>
        <v>996414107</v>
      </c>
      <c r="D178" s="24">
        <f>SUM(D179:D182)</f>
        <v>1157451999</v>
      </c>
      <c r="E178" s="25">
        <f>SUM(E179:E182)</f>
        <v>680126787</v>
      </c>
      <c r="F178" s="26">
        <f>(E178/D178)*100</f>
        <v>58.76069051568504</v>
      </c>
      <c r="G178" s="137">
        <f>SUM(G179:H182)</f>
        <v>2004768964</v>
      </c>
      <c r="H178" s="139">
        <f>SUM(H179:H182)</f>
        <v>0</v>
      </c>
      <c r="I178" s="26">
        <f>(G178/D178)*100</f>
        <v>173.20536538293197</v>
      </c>
      <c r="J178" s="133">
        <f>D178-G178</f>
        <v>-847316965</v>
      </c>
      <c r="K178" s="134"/>
      <c r="L178" s="134"/>
    </row>
    <row r="179" spans="1:12" ht="15.75">
      <c r="A179" s="141" t="s">
        <v>104</v>
      </c>
      <c r="B179" s="141"/>
      <c r="C179" s="23">
        <v>0</v>
      </c>
      <c r="D179" s="24">
        <v>0</v>
      </c>
      <c r="E179" s="25">
        <f>G179-52576</f>
        <v>4342</v>
      </c>
      <c r="F179" s="26">
        <v>0</v>
      </c>
      <c r="G179" s="135">
        <v>56918</v>
      </c>
      <c r="H179" s="136"/>
      <c r="I179" s="26">
        <v>0</v>
      </c>
      <c r="J179" s="133">
        <f>D179-G179</f>
        <v>-56918</v>
      </c>
      <c r="K179" s="134"/>
      <c r="L179" s="134"/>
    </row>
    <row r="180" spans="1:12" ht="15.75">
      <c r="A180" s="141" t="s">
        <v>105</v>
      </c>
      <c r="B180" s="141"/>
      <c r="C180" s="23">
        <v>940421126</v>
      </c>
      <c r="D180" s="24">
        <v>1101459018</v>
      </c>
      <c r="E180" s="25">
        <f>G180-1324558149</f>
        <v>585092999</v>
      </c>
      <c r="F180" s="26">
        <f>(E180/D180)*100</f>
        <v>53.119815575380755</v>
      </c>
      <c r="G180" s="137">
        <v>1909651148</v>
      </c>
      <c r="H180" s="139"/>
      <c r="I180" s="26">
        <f>(G180/D180)*100</f>
        <v>173.37468909805594</v>
      </c>
      <c r="J180" s="133">
        <f>D180-G180</f>
        <v>-808192130</v>
      </c>
      <c r="K180" s="134"/>
      <c r="L180" s="134"/>
    </row>
    <row r="181" spans="1:12" ht="15.75">
      <c r="A181" s="141" t="s">
        <v>106</v>
      </c>
      <c r="B181" s="141"/>
      <c r="C181" s="23">
        <v>0</v>
      </c>
      <c r="D181" s="29">
        <v>0</v>
      </c>
      <c r="E181" s="25">
        <f>G181</f>
        <v>0</v>
      </c>
      <c r="F181" s="26">
        <v>0</v>
      </c>
      <c r="G181" s="135">
        <v>0</v>
      </c>
      <c r="H181" s="136"/>
      <c r="I181" s="26">
        <v>0</v>
      </c>
      <c r="J181" s="133">
        <f>D181-G181</f>
        <v>0</v>
      </c>
      <c r="K181" s="134"/>
      <c r="L181" s="134"/>
    </row>
    <row r="182" spans="1:12" ht="15" customHeight="1">
      <c r="A182" s="141" t="s">
        <v>107</v>
      </c>
      <c r="B182" s="141"/>
      <c r="C182" s="23">
        <v>55992981</v>
      </c>
      <c r="D182" s="129">
        <v>55992981</v>
      </c>
      <c r="E182" s="25">
        <f>G182-31452</f>
        <v>95029446</v>
      </c>
      <c r="F182" s="26">
        <f>(E182/D182)*100</f>
        <v>169.7167114571021</v>
      </c>
      <c r="G182" s="135">
        <v>95060898</v>
      </c>
      <c r="H182" s="136"/>
      <c r="I182" s="26">
        <f>(G182/D182)*100</f>
        <v>169.77288278329027</v>
      </c>
      <c r="J182" s="133">
        <f>D182-G182</f>
        <v>-39067917</v>
      </c>
      <c r="K182" s="134"/>
      <c r="L182" s="134"/>
    </row>
    <row r="183" spans="1:12" ht="15.75">
      <c r="A183" s="177" t="s">
        <v>48</v>
      </c>
      <c r="B183" s="177"/>
      <c r="C183" s="19">
        <f>C184+C187+C191+C192+C201</f>
        <v>0</v>
      </c>
      <c r="D183" s="20">
        <f>D184+D187+D191+D192+D201</f>
        <v>228315239</v>
      </c>
      <c r="E183" s="16">
        <f>E184+E187+E191+E192+E201</f>
        <v>36110.08</v>
      </c>
      <c r="F183" s="21">
        <v>0</v>
      </c>
      <c r="G183" s="173">
        <f>G184+G187+G191+G192+G201</f>
        <v>239484.08</v>
      </c>
      <c r="H183" s="174"/>
      <c r="I183" s="21">
        <v>0</v>
      </c>
      <c r="J183" s="175">
        <f aca="true" t="shared" si="18" ref="J183:J200">D183-G183</f>
        <v>228075754.92</v>
      </c>
      <c r="K183" s="176"/>
      <c r="L183" s="176"/>
    </row>
    <row r="184" spans="1:12" ht="15.75">
      <c r="A184" s="141" t="s">
        <v>49</v>
      </c>
      <c r="B184" s="141"/>
      <c r="C184" s="23">
        <f>C185+C186</f>
        <v>0</v>
      </c>
      <c r="D184" s="24">
        <f>D185+D186</f>
        <v>0</v>
      </c>
      <c r="E184" s="25">
        <f>E185+E186</f>
        <v>0</v>
      </c>
      <c r="F184" s="26">
        <v>0</v>
      </c>
      <c r="G184" s="135">
        <f>G185+G186</f>
        <v>0</v>
      </c>
      <c r="H184" s="136"/>
      <c r="I184" s="26">
        <v>0</v>
      </c>
      <c r="J184" s="133">
        <f t="shared" si="18"/>
        <v>0</v>
      </c>
      <c r="K184" s="134"/>
      <c r="L184" s="134"/>
    </row>
    <row r="185" spans="1:12" ht="15.75">
      <c r="A185" s="141" t="s">
        <v>127</v>
      </c>
      <c r="B185" s="141"/>
      <c r="C185" s="23">
        <v>0</v>
      </c>
      <c r="D185" s="24">
        <v>0</v>
      </c>
      <c r="E185" s="25">
        <f>G185</f>
        <v>0</v>
      </c>
      <c r="F185" s="26">
        <v>0</v>
      </c>
      <c r="G185" s="135">
        <v>0</v>
      </c>
      <c r="H185" s="136"/>
      <c r="I185" s="26">
        <v>0</v>
      </c>
      <c r="J185" s="133">
        <f t="shared" si="18"/>
        <v>0</v>
      </c>
      <c r="K185" s="134"/>
      <c r="L185" s="134"/>
    </row>
    <row r="186" spans="1:12" ht="15.75">
      <c r="A186" s="141" t="s">
        <v>128</v>
      </c>
      <c r="B186" s="141"/>
      <c r="C186" s="23">
        <v>0</v>
      </c>
      <c r="D186" s="24">
        <v>0</v>
      </c>
      <c r="E186" s="25">
        <f>G186</f>
        <v>0</v>
      </c>
      <c r="F186" s="26">
        <v>0</v>
      </c>
      <c r="G186" s="135">
        <v>0</v>
      </c>
      <c r="H186" s="136"/>
      <c r="I186" s="26">
        <v>0</v>
      </c>
      <c r="J186" s="133">
        <f t="shared" si="18"/>
        <v>0</v>
      </c>
      <c r="K186" s="134"/>
      <c r="L186" s="134"/>
    </row>
    <row r="187" spans="1:12" ht="15.75">
      <c r="A187" s="141" t="s">
        <v>50</v>
      </c>
      <c r="B187" s="141"/>
      <c r="C187" s="23">
        <f>C188+C189+C190</f>
        <v>0</v>
      </c>
      <c r="D187" s="24">
        <f>D188+D189+D190</f>
        <v>0</v>
      </c>
      <c r="E187" s="25">
        <f>E188+E189+E190</f>
        <v>0</v>
      </c>
      <c r="F187" s="26">
        <v>0</v>
      </c>
      <c r="G187" s="135">
        <f>SUM(G188:H190)</f>
        <v>0</v>
      </c>
      <c r="H187" s="136"/>
      <c r="I187" s="26">
        <v>0</v>
      </c>
      <c r="J187" s="133">
        <f t="shared" si="18"/>
        <v>0</v>
      </c>
      <c r="K187" s="134"/>
      <c r="L187" s="134"/>
    </row>
    <row r="188" spans="1:12" ht="15.75">
      <c r="A188" s="141" t="s">
        <v>51</v>
      </c>
      <c r="B188" s="141"/>
      <c r="C188" s="23">
        <v>0</v>
      </c>
      <c r="D188" s="24">
        <v>0</v>
      </c>
      <c r="E188" s="25">
        <f>G188</f>
        <v>0</v>
      </c>
      <c r="F188" s="26">
        <v>0</v>
      </c>
      <c r="G188" s="135">
        <v>0</v>
      </c>
      <c r="H188" s="136"/>
      <c r="I188" s="26">
        <v>0</v>
      </c>
      <c r="J188" s="133">
        <f t="shared" si="18"/>
        <v>0</v>
      </c>
      <c r="K188" s="134"/>
      <c r="L188" s="134"/>
    </row>
    <row r="189" spans="1:12" ht="15.75">
      <c r="A189" s="141" t="s">
        <v>52</v>
      </c>
      <c r="B189" s="141"/>
      <c r="C189" s="23">
        <v>0</v>
      </c>
      <c r="D189" s="24">
        <v>0</v>
      </c>
      <c r="E189" s="25">
        <f>G189</f>
        <v>0</v>
      </c>
      <c r="F189" s="26">
        <v>0</v>
      </c>
      <c r="G189" s="135">
        <v>0</v>
      </c>
      <c r="H189" s="136"/>
      <c r="I189" s="26">
        <v>0</v>
      </c>
      <c r="J189" s="133">
        <f t="shared" si="18"/>
        <v>0</v>
      </c>
      <c r="K189" s="134"/>
      <c r="L189" s="134"/>
    </row>
    <row r="190" spans="1:12" ht="15.75">
      <c r="A190" s="141" t="s">
        <v>129</v>
      </c>
      <c r="B190" s="141"/>
      <c r="C190" s="23">
        <v>0</v>
      </c>
      <c r="D190" s="24">
        <v>0</v>
      </c>
      <c r="E190" s="25">
        <f>G190</f>
        <v>0</v>
      </c>
      <c r="F190" s="26">
        <v>0</v>
      </c>
      <c r="G190" s="135">
        <v>0</v>
      </c>
      <c r="H190" s="136"/>
      <c r="I190" s="26">
        <v>0</v>
      </c>
      <c r="J190" s="137">
        <f t="shared" si="18"/>
        <v>0</v>
      </c>
      <c r="K190" s="138"/>
      <c r="L190" s="138"/>
    </row>
    <row r="191" spans="1:12" ht="15.75">
      <c r="A191" s="141" t="s">
        <v>53</v>
      </c>
      <c r="B191" s="141"/>
      <c r="C191" s="23">
        <v>0</v>
      </c>
      <c r="D191" s="24">
        <v>228315239</v>
      </c>
      <c r="E191" s="25">
        <f>G191-203374</f>
        <v>36015</v>
      </c>
      <c r="F191" s="26">
        <v>0</v>
      </c>
      <c r="G191" s="135">
        <v>239389</v>
      </c>
      <c r="H191" s="136"/>
      <c r="I191" s="26">
        <v>0</v>
      </c>
      <c r="J191" s="133">
        <f t="shared" si="18"/>
        <v>228075850</v>
      </c>
      <c r="K191" s="134"/>
      <c r="L191" s="134"/>
    </row>
    <row r="192" spans="1:12" ht="15.75">
      <c r="A192" s="141" t="s">
        <v>54</v>
      </c>
      <c r="B192" s="141"/>
      <c r="C192" s="23">
        <f>SUM(C193:C200)</f>
        <v>0</v>
      </c>
      <c r="D192" s="23">
        <f>SUM(D193:D200)</f>
        <v>0</v>
      </c>
      <c r="E192" s="25">
        <f>SUM(E193:E200)</f>
        <v>95.08</v>
      </c>
      <c r="F192" s="26">
        <v>0</v>
      </c>
      <c r="G192" s="135">
        <f>SUM(G193:H200)</f>
        <v>95.08</v>
      </c>
      <c r="H192" s="136">
        <f>SUM(H193:H200)</f>
        <v>0</v>
      </c>
      <c r="I192" s="26">
        <v>0</v>
      </c>
      <c r="J192" s="133">
        <f t="shared" si="18"/>
        <v>-95.08</v>
      </c>
      <c r="K192" s="134"/>
      <c r="L192" s="134"/>
    </row>
    <row r="193" spans="1:12" ht="15.75">
      <c r="A193" s="141" t="s">
        <v>108</v>
      </c>
      <c r="B193" s="141"/>
      <c r="C193" s="23">
        <v>0</v>
      </c>
      <c r="D193" s="24">
        <v>0</v>
      </c>
      <c r="E193" s="25">
        <f aca="true" t="shared" si="19" ref="E193:E200">G193</f>
        <v>0</v>
      </c>
      <c r="F193" s="26">
        <v>0</v>
      </c>
      <c r="G193" s="135">
        <v>0</v>
      </c>
      <c r="H193" s="136"/>
      <c r="I193" s="26">
        <v>0</v>
      </c>
      <c r="J193" s="133">
        <f t="shared" si="18"/>
        <v>0</v>
      </c>
      <c r="K193" s="134"/>
      <c r="L193" s="134"/>
    </row>
    <row r="194" spans="1:12" ht="15.75">
      <c r="A194" s="141" t="s">
        <v>109</v>
      </c>
      <c r="B194" s="141"/>
      <c r="C194" s="23">
        <v>0</v>
      </c>
      <c r="D194" s="24">
        <v>0</v>
      </c>
      <c r="E194" s="25">
        <f t="shared" si="19"/>
        <v>95.08</v>
      </c>
      <c r="F194" s="26">
        <v>0</v>
      </c>
      <c r="G194" s="135">
        <v>95.08</v>
      </c>
      <c r="H194" s="136"/>
      <c r="I194" s="26">
        <v>0</v>
      </c>
      <c r="J194" s="133">
        <f t="shared" si="18"/>
        <v>-95.08</v>
      </c>
      <c r="K194" s="134"/>
      <c r="L194" s="134"/>
    </row>
    <row r="195" spans="1:12" ht="15.75">
      <c r="A195" s="141" t="s">
        <v>110</v>
      </c>
      <c r="B195" s="141"/>
      <c r="C195" s="23">
        <v>0</v>
      </c>
      <c r="D195" s="24">
        <v>0</v>
      </c>
      <c r="E195" s="25">
        <f t="shared" si="19"/>
        <v>0</v>
      </c>
      <c r="F195" s="26">
        <v>0</v>
      </c>
      <c r="G195" s="135">
        <v>0</v>
      </c>
      <c r="H195" s="136"/>
      <c r="I195" s="26">
        <v>0</v>
      </c>
      <c r="J195" s="133">
        <f t="shared" si="18"/>
        <v>0</v>
      </c>
      <c r="K195" s="134"/>
      <c r="L195" s="134"/>
    </row>
    <row r="196" spans="1:12" ht="15.75">
      <c r="A196" s="141" t="s">
        <v>45</v>
      </c>
      <c r="B196" s="141"/>
      <c r="C196" s="23">
        <v>0</v>
      </c>
      <c r="D196" s="24">
        <v>0</v>
      </c>
      <c r="E196" s="25">
        <f t="shared" si="19"/>
        <v>0</v>
      </c>
      <c r="F196" s="26">
        <v>0</v>
      </c>
      <c r="G196" s="135">
        <v>0</v>
      </c>
      <c r="H196" s="136"/>
      <c r="I196" s="26">
        <v>0</v>
      </c>
      <c r="J196" s="133">
        <f t="shared" si="18"/>
        <v>0</v>
      </c>
      <c r="K196" s="134"/>
      <c r="L196" s="134"/>
    </row>
    <row r="197" spans="1:12" ht="15.75">
      <c r="A197" s="141" t="s">
        <v>91</v>
      </c>
      <c r="B197" s="141"/>
      <c r="C197" s="23">
        <v>0</v>
      </c>
      <c r="D197" s="24">
        <v>0</v>
      </c>
      <c r="E197" s="25">
        <f t="shared" si="19"/>
        <v>0</v>
      </c>
      <c r="F197" s="26">
        <v>0</v>
      </c>
      <c r="G197" s="135">
        <v>0</v>
      </c>
      <c r="H197" s="136"/>
      <c r="I197" s="26">
        <v>0</v>
      </c>
      <c r="J197" s="133">
        <f t="shared" si="18"/>
        <v>0</v>
      </c>
      <c r="K197" s="134"/>
      <c r="L197" s="134"/>
    </row>
    <row r="198" spans="1:12" ht="15.75">
      <c r="A198" s="141" t="s">
        <v>46</v>
      </c>
      <c r="B198" s="141"/>
      <c r="C198" s="23">
        <v>0</v>
      </c>
      <c r="D198" s="24">
        <v>0</v>
      </c>
      <c r="E198" s="25">
        <f t="shared" si="19"/>
        <v>0</v>
      </c>
      <c r="F198" s="26">
        <v>0</v>
      </c>
      <c r="G198" s="135">
        <v>0</v>
      </c>
      <c r="H198" s="136"/>
      <c r="I198" s="26">
        <v>0</v>
      </c>
      <c r="J198" s="133">
        <f t="shared" si="18"/>
        <v>0</v>
      </c>
      <c r="K198" s="134"/>
      <c r="L198" s="134"/>
    </row>
    <row r="199" spans="1:12" ht="15.75">
      <c r="A199" s="141" t="s">
        <v>111</v>
      </c>
      <c r="B199" s="141"/>
      <c r="C199" s="23">
        <v>0</v>
      </c>
      <c r="D199" s="24">
        <v>0</v>
      </c>
      <c r="E199" s="25">
        <f t="shared" si="19"/>
        <v>0</v>
      </c>
      <c r="F199" s="26">
        <v>0</v>
      </c>
      <c r="G199" s="135">
        <v>0</v>
      </c>
      <c r="H199" s="136"/>
      <c r="I199" s="26">
        <v>0</v>
      </c>
      <c r="J199" s="137">
        <f t="shared" si="18"/>
        <v>0</v>
      </c>
      <c r="K199" s="138"/>
      <c r="L199" s="138"/>
    </row>
    <row r="200" spans="1:12" ht="15.75">
      <c r="A200" s="141" t="s">
        <v>112</v>
      </c>
      <c r="B200" s="141"/>
      <c r="C200" s="23">
        <v>0</v>
      </c>
      <c r="D200" s="24">
        <v>0</v>
      </c>
      <c r="E200" s="25">
        <f t="shared" si="19"/>
        <v>0</v>
      </c>
      <c r="F200" s="26">
        <v>0</v>
      </c>
      <c r="G200" s="135">
        <v>0</v>
      </c>
      <c r="H200" s="136"/>
      <c r="I200" s="26">
        <v>0</v>
      </c>
      <c r="J200" s="137">
        <f t="shared" si="18"/>
        <v>0</v>
      </c>
      <c r="K200" s="138"/>
      <c r="L200" s="138"/>
    </row>
    <row r="201" spans="1:12" ht="15.75">
      <c r="A201" s="147" t="s">
        <v>55</v>
      </c>
      <c r="B201" s="141"/>
      <c r="C201" s="23">
        <f>SUM(C202:C205)</f>
        <v>0</v>
      </c>
      <c r="D201" s="24">
        <f>SUM(D202:D205)</f>
        <v>0</v>
      </c>
      <c r="E201" s="25">
        <f>SUM(E202:E205)</f>
        <v>0</v>
      </c>
      <c r="F201" s="26">
        <v>0</v>
      </c>
      <c r="G201" s="135">
        <f>SUM(G202:H205)</f>
        <v>0</v>
      </c>
      <c r="H201" s="136">
        <f>SUM(H203:H205)</f>
        <v>0</v>
      </c>
      <c r="I201" s="26">
        <v>0</v>
      </c>
      <c r="J201" s="133">
        <f>D201-G201</f>
        <v>0</v>
      </c>
      <c r="K201" s="134"/>
      <c r="L201" s="134"/>
    </row>
    <row r="202" spans="1:12" ht="15.75">
      <c r="A202" s="141" t="s">
        <v>130</v>
      </c>
      <c r="B202" s="141"/>
      <c r="C202" s="23">
        <v>0</v>
      </c>
      <c r="D202" s="24">
        <v>0</v>
      </c>
      <c r="E202" s="25">
        <f>G202</f>
        <v>0</v>
      </c>
      <c r="F202" s="26">
        <v>0</v>
      </c>
      <c r="G202" s="135">
        <v>0</v>
      </c>
      <c r="H202" s="136"/>
      <c r="I202" s="26">
        <v>0</v>
      </c>
      <c r="J202" s="133">
        <f>D202-G202</f>
        <v>0</v>
      </c>
      <c r="K202" s="134"/>
      <c r="L202" s="134"/>
    </row>
    <row r="203" spans="1:12" ht="15.75">
      <c r="A203" s="141" t="s">
        <v>131</v>
      </c>
      <c r="B203" s="141"/>
      <c r="C203" s="23">
        <v>0</v>
      </c>
      <c r="D203" s="24">
        <v>0</v>
      </c>
      <c r="E203" s="25">
        <f>G203</f>
        <v>0</v>
      </c>
      <c r="F203" s="26">
        <v>0</v>
      </c>
      <c r="G203" s="135">
        <v>0</v>
      </c>
      <c r="H203" s="136"/>
      <c r="I203" s="26">
        <v>0</v>
      </c>
      <c r="J203" s="133">
        <f>D203-G203</f>
        <v>0</v>
      </c>
      <c r="K203" s="134"/>
      <c r="L203" s="134"/>
    </row>
    <row r="204" spans="1:12" ht="15.75">
      <c r="A204" s="141" t="s">
        <v>132</v>
      </c>
      <c r="B204" s="141"/>
      <c r="C204" s="23">
        <v>0</v>
      </c>
      <c r="D204" s="24">
        <v>0</v>
      </c>
      <c r="E204" s="25">
        <f>G204</f>
        <v>0</v>
      </c>
      <c r="F204" s="26">
        <v>0</v>
      </c>
      <c r="G204" s="135">
        <v>0</v>
      </c>
      <c r="H204" s="136"/>
      <c r="I204" s="26">
        <v>0</v>
      </c>
      <c r="J204" s="133">
        <f>D204-G204</f>
        <v>0</v>
      </c>
      <c r="K204" s="134"/>
      <c r="L204" s="134"/>
    </row>
    <row r="205" spans="1:12" ht="15.75">
      <c r="A205" s="140" t="s">
        <v>133</v>
      </c>
      <c r="B205" s="140"/>
      <c r="C205" s="92">
        <v>0</v>
      </c>
      <c r="D205" s="37">
        <v>0</v>
      </c>
      <c r="E205" s="36">
        <f>G205</f>
        <v>0</v>
      </c>
      <c r="F205" s="38">
        <v>0</v>
      </c>
      <c r="G205" s="148">
        <v>0</v>
      </c>
      <c r="H205" s="149"/>
      <c r="I205" s="38">
        <v>0</v>
      </c>
      <c r="J205" s="142">
        <f>D205-G205</f>
        <v>0</v>
      </c>
      <c r="K205" s="143"/>
      <c r="L205" s="143"/>
    </row>
    <row r="206" spans="1:12" ht="15.75" customHeight="1">
      <c r="A206" s="77"/>
      <c r="B206" s="78"/>
      <c r="C206" s="78"/>
      <c r="D206" s="79"/>
      <c r="E206" s="110"/>
      <c r="F206" s="78"/>
      <c r="G206" s="110"/>
      <c r="H206" s="132"/>
      <c r="I206" s="132"/>
      <c r="J206" s="82"/>
      <c r="K206" s="132"/>
      <c r="L206" s="132"/>
    </row>
    <row r="207" spans="1:12" ht="15.75">
      <c r="A207" s="160" t="s">
        <v>18</v>
      </c>
      <c r="B207" s="111" t="s">
        <v>15</v>
      </c>
      <c r="C207" s="111" t="s">
        <v>15</v>
      </c>
      <c r="D207" s="144" t="s">
        <v>16</v>
      </c>
      <c r="E207" s="145"/>
      <c r="F207" s="112" t="s">
        <v>73</v>
      </c>
      <c r="G207" s="144" t="s">
        <v>17</v>
      </c>
      <c r="H207" s="145"/>
      <c r="I207" s="146"/>
      <c r="J207" s="113" t="s">
        <v>73</v>
      </c>
      <c r="K207" s="150" t="s">
        <v>78</v>
      </c>
      <c r="L207" s="151"/>
    </row>
    <row r="208" spans="1:12" ht="15.75">
      <c r="A208" s="161"/>
      <c r="B208" s="114" t="s">
        <v>5</v>
      </c>
      <c r="C208" s="114" t="s">
        <v>6</v>
      </c>
      <c r="D208" s="115" t="s">
        <v>79</v>
      </c>
      <c r="E208" s="115" t="s">
        <v>80</v>
      </c>
      <c r="F208" s="116"/>
      <c r="G208" s="115" t="s">
        <v>79</v>
      </c>
      <c r="H208" s="156" t="s">
        <v>80</v>
      </c>
      <c r="I208" s="157"/>
      <c r="J208" s="117"/>
      <c r="K208" s="152"/>
      <c r="L208" s="153"/>
    </row>
    <row r="209" spans="1:12" ht="15.75">
      <c r="A209" s="161"/>
      <c r="B209" s="114"/>
      <c r="C209" s="114"/>
      <c r="D209" s="116" t="s">
        <v>81</v>
      </c>
      <c r="E209" s="116" t="s">
        <v>81</v>
      </c>
      <c r="F209" s="116"/>
      <c r="G209" s="116" t="s">
        <v>81</v>
      </c>
      <c r="H209" s="158" t="s">
        <v>81</v>
      </c>
      <c r="I209" s="159"/>
      <c r="J209" s="117"/>
      <c r="K209" s="152"/>
      <c r="L209" s="153"/>
    </row>
    <row r="210" spans="1:12" ht="15.75">
      <c r="A210" s="162"/>
      <c r="B210" s="118" t="s">
        <v>19</v>
      </c>
      <c r="C210" s="118" t="s">
        <v>20</v>
      </c>
      <c r="D210" s="118"/>
      <c r="E210" s="118" t="s">
        <v>82</v>
      </c>
      <c r="F210" s="119" t="s">
        <v>83</v>
      </c>
      <c r="G210" s="118"/>
      <c r="H210" s="170" t="s">
        <v>21</v>
      </c>
      <c r="I210" s="171"/>
      <c r="J210" s="120" t="s">
        <v>84</v>
      </c>
      <c r="K210" s="170" t="s">
        <v>22</v>
      </c>
      <c r="L210" s="172"/>
    </row>
    <row r="211" spans="1:12" s="3" customFormat="1" ht="15.75">
      <c r="A211" s="57" t="s">
        <v>68</v>
      </c>
      <c r="B211" s="56">
        <f>B212+B216</f>
        <v>5507654646</v>
      </c>
      <c r="C211" s="56">
        <f>C212+C216</f>
        <v>6777492767</v>
      </c>
      <c r="D211" s="56">
        <f>D212+D216</f>
        <v>1285605104</v>
      </c>
      <c r="E211" s="56">
        <f>E212+E216</f>
        <v>5654294044</v>
      </c>
      <c r="F211" s="56">
        <f>C211-E211</f>
        <v>1123198723</v>
      </c>
      <c r="G211" s="56">
        <f>G212+G216</f>
        <v>1279905574</v>
      </c>
      <c r="H211" s="167">
        <f>H212+H216</f>
        <v>5469652164</v>
      </c>
      <c r="I211" s="168"/>
      <c r="J211" s="20">
        <f aca="true" t="shared" si="20" ref="J211:J217">C211-H211</f>
        <v>1307840603</v>
      </c>
      <c r="K211" s="167">
        <f>K212+K216</f>
        <v>5050671930</v>
      </c>
      <c r="L211" s="169"/>
    </row>
    <row r="212" spans="1:12" s="3" customFormat="1" ht="15.75">
      <c r="A212" s="57" t="s">
        <v>59</v>
      </c>
      <c r="B212" s="56">
        <f>SUM(B213:B215)</f>
        <v>5507252146</v>
      </c>
      <c r="C212" s="56">
        <f>SUM(C213:C215)</f>
        <v>6777090267</v>
      </c>
      <c r="D212" s="56">
        <f>SUM(D213:D215)</f>
        <v>1285481822</v>
      </c>
      <c r="E212" s="56">
        <f>SUM(E213:E215)</f>
        <v>5654090670</v>
      </c>
      <c r="F212" s="56">
        <f aca="true" t="shared" si="21" ref="F212:F219">C212-E212</f>
        <v>1122999597</v>
      </c>
      <c r="G212" s="56">
        <f>SUM(G213:G215)</f>
        <v>1279782292</v>
      </c>
      <c r="H212" s="167">
        <f>SUM(H213:I215)</f>
        <v>5469448790</v>
      </c>
      <c r="I212" s="168">
        <f>SUM(I213:I215)</f>
        <v>0</v>
      </c>
      <c r="J212" s="20">
        <f t="shared" si="20"/>
        <v>1307641477</v>
      </c>
      <c r="K212" s="167">
        <f>SUM(K213:L215)</f>
        <v>5050468556</v>
      </c>
      <c r="L212" s="169"/>
    </row>
    <row r="213" spans="1:12" s="3" customFormat="1" ht="15.75" customHeight="1">
      <c r="A213" s="58" t="s">
        <v>60</v>
      </c>
      <c r="B213" s="59">
        <v>3946612271</v>
      </c>
      <c r="C213" s="59">
        <v>4038712447</v>
      </c>
      <c r="D213" s="59">
        <f>E213-2610141118</f>
        <v>579444304</v>
      </c>
      <c r="E213" s="59">
        <v>3189585422</v>
      </c>
      <c r="F213" s="59">
        <f t="shared" si="21"/>
        <v>849127025</v>
      </c>
      <c r="G213" s="59">
        <f>H213-2455221250</f>
        <v>621982685</v>
      </c>
      <c r="H213" s="137">
        <v>3077203935</v>
      </c>
      <c r="I213" s="139"/>
      <c r="J213" s="24">
        <f t="shared" si="20"/>
        <v>961508512</v>
      </c>
      <c r="K213" s="137">
        <v>2764968463</v>
      </c>
      <c r="L213" s="138"/>
    </row>
    <row r="214" spans="1:12" s="3" customFormat="1" ht="15.75" customHeight="1">
      <c r="A214" s="125" t="s">
        <v>147</v>
      </c>
      <c r="B214" s="59">
        <v>0</v>
      </c>
      <c r="C214" s="59">
        <v>0</v>
      </c>
      <c r="D214" s="59">
        <v>0</v>
      </c>
      <c r="E214" s="59">
        <v>0</v>
      </c>
      <c r="F214" s="59">
        <f t="shared" si="21"/>
        <v>0</v>
      </c>
      <c r="G214" s="59">
        <v>0</v>
      </c>
      <c r="H214" s="137">
        <v>0</v>
      </c>
      <c r="I214" s="139"/>
      <c r="J214" s="24">
        <f t="shared" si="20"/>
        <v>0</v>
      </c>
      <c r="K214" s="137">
        <v>0</v>
      </c>
      <c r="L214" s="138"/>
    </row>
    <row r="215" spans="1:12" s="3" customFormat="1" ht="15.75" customHeight="1">
      <c r="A215" s="58" t="s">
        <v>62</v>
      </c>
      <c r="B215" s="59">
        <v>1560639875</v>
      </c>
      <c r="C215" s="59">
        <v>2738377820</v>
      </c>
      <c r="D215" s="59">
        <f>E215-1758467730</f>
        <v>706037518</v>
      </c>
      <c r="E215" s="59">
        <v>2464505248</v>
      </c>
      <c r="F215" s="59">
        <f t="shared" si="21"/>
        <v>273872572</v>
      </c>
      <c r="G215" s="59">
        <f>H215-1734445248</f>
        <v>657799607</v>
      </c>
      <c r="H215" s="137">
        <v>2392244855</v>
      </c>
      <c r="I215" s="139"/>
      <c r="J215" s="24">
        <f t="shared" si="20"/>
        <v>346132965</v>
      </c>
      <c r="K215" s="137">
        <v>2285500093</v>
      </c>
      <c r="L215" s="138"/>
    </row>
    <row r="216" spans="1:12" s="3" customFormat="1" ht="15.75" customHeight="1">
      <c r="A216" s="57" t="s">
        <v>63</v>
      </c>
      <c r="B216" s="56">
        <f>B217+B218+B219</f>
        <v>402500</v>
      </c>
      <c r="C216" s="56">
        <f>C217+C218+C219</f>
        <v>402500</v>
      </c>
      <c r="D216" s="56">
        <f>D217+D218+D219</f>
        <v>123282</v>
      </c>
      <c r="E216" s="56">
        <f>E217+E218+E219</f>
        <v>203374</v>
      </c>
      <c r="F216" s="56">
        <f t="shared" si="21"/>
        <v>199126</v>
      </c>
      <c r="G216" s="56">
        <f>G217+G218+G219</f>
        <v>123282</v>
      </c>
      <c r="H216" s="167">
        <f>H217+H218+H219</f>
        <v>203374</v>
      </c>
      <c r="I216" s="168">
        <f>I217+H218+I219</f>
        <v>0</v>
      </c>
      <c r="J216" s="20">
        <f t="shared" si="20"/>
        <v>199126</v>
      </c>
      <c r="K216" s="167">
        <f>K217+K218+K219</f>
        <v>203374</v>
      </c>
      <c r="L216" s="169"/>
    </row>
    <row r="217" spans="1:12" s="3" customFormat="1" ht="15.75" customHeight="1">
      <c r="A217" s="58" t="s">
        <v>64</v>
      </c>
      <c r="B217" s="59">
        <v>0</v>
      </c>
      <c r="C217" s="59">
        <v>0</v>
      </c>
      <c r="D217" s="59">
        <f>E217-0</f>
        <v>0</v>
      </c>
      <c r="E217" s="59">
        <v>0</v>
      </c>
      <c r="F217" s="59">
        <f t="shared" si="21"/>
        <v>0</v>
      </c>
      <c r="G217" s="24">
        <f>H217-0</f>
        <v>0</v>
      </c>
      <c r="H217" s="138">
        <v>0</v>
      </c>
      <c r="I217" s="139"/>
      <c r="J217" s="24">
        <f t="shared" si="20"/>
        <v>0</v>
      </c>
      <c r="K217" s="138">
        <v>0</v>
      </c>
      <c r="L217" s="138"/>
    </row>
    <row r="218" spans="1:12" s="3" customFormat="1" ht="15.75" customHeight="1">
      <c r="A218" s="58" t="s">
        <v>65</v>
      </c>
      <c r="B218" s="59">
        <v>0</v>
      </c>
      <c r="C218" s="59">
        <v>0</v>
      </c>
      <c r="D218" s="59">
        <f>E218-0</f>
        <v>0</v>
      </c>
      <c r="E218" s="59">
        <v>0</v>
      </c>
      <c r="F218" s="59">
        <f t="shared" si="21"/>
        <v>0</v>
      </c>
      <c r="G218" s="24">
        <f>H218-0</f>
        <v>0</v>
      </c>
      <c r="H218" s="137">
        <v>0</v>
      </c>
      <c r="I218" s="139"/>
      <c r="J218" s="24">
        <v>0</v>
      </c>
      <c r="K218" s="137">
        <v>0</v>
      </c>
      <c r="L218" s="138"/>
    </row>
    <row r="219" spans="1:12" s="3" customFormat="1" ht="15.75" customHeight="1">
      <c r="A219" s="93" t="s">
        <v>66</v>
      </c>
      <c r="B219" s="70">
        <v>402500</v>
      </c>
      <c r="C219" s="70">
        <v>402500</v>
      </c>
      <c r="D219" s="70">
        <f>E219-80092</f>
        <v>123282</v>
      </c>
      <c r="E219" s="130">
        <v>203374</v>
      </c>
      <c r="F219" s="70">
        <f t="shared" si="21"/>
        <v>199126</v>
      </c>
      <c r="G219" s="70">
        <f>H219-80092</f>
        <v>123282</v>
      </c>
      <c r="H219" s="164">
        <v>203374</v>
      </c>
      <c r="I219" s="165"/>
      <c r="J219" s="37">
        <f>C219-H219</f>
        <v>199126</v>
      </c>
      <c r="K219" s="164">
        <v>203374</v>
      </c>
      <c r="L219" s="166"/>
    </row>
    <row r="220" spans="1:12" s="3" customFormat="1" ht="15.75">
      <c r="A220" s="121" t="s">
        <v>141</v>
      </c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5" t="s">
        <v>102</v>
      </c>
    </row>
    <row r="221" spans="1:12" s="3" customFormat="1" ht="15.75" customHeight="1">
      <c r="A221" s="101" t="s">
        <v>146</v>
      </c>
      <c r="B221" s="101"/>
      <c r="C221" s="101"/>
      <c r="D221" s="101"/>
      <c r="E221" s="101"/>
      <c r="F221" s="101"/>
      <c r="G221" s="101"/>
      <c r="H221" s="101"/>
      <c r="I221" s="101"/>
      <c r="J221" s="101"/>
      <c r="K221" s="101"/>
      <c r="L221" s="126"/>
    </row>
    <row r="222" spans="1:12" s="3" customFormat="1" ht="15.75" customHeight="1">
      <c r="A222" s="101" t="s">
        <v>137</v>
      </c>
      <c r="B222" s="122"/>
      <c r="C222" s="122"/>
      <c r="D222" s="122"/>
      <c r="E222" s="122"/>
      <c r="F222" s="122"/>
      <c r="G222" s="122"/>
      <c r="H222" s="122"/>
      <c r="I222" s="122"/>
      <c r="J222" s="122"/>
      <c r="K222" s="122"/>
      <c r="L222" s="103"/>
    </row>
    <row r="223" spans="1:12" s="3" customFormat="1" ht="15.75">
      <c r="A223" s="163" t="s">
        <v>144</v>
      </c>
      <c r="B223" s="163"/>
      <c r="C223" s="163"/>
      <c r="D223" s="163"/>
      <c r="E223" s="163"/>
      <c r="F223" s="163"/>
      <c r="G223" s="163"/>
      <c r="H223" s="163"/>
      <c r="I223" s="163"/>
      <c r="J223" s="163"/>
      <c r="K223" s="163"/>
      <c r="L223" s="163"/>
    </row>
    <row r="224" spans="1:12" s="3" customFormat="1" ht="15.75">
      <c r="A224" s="163" t="s">
        <v>93</v>
      </c>
      <c r="B224" s="163"/>
      <c r="C224" s="163"/>
      <c r="D224" s="163"/>
      <c r="E224" s="163"/>
      <c r="F224" s="163"/>
      <c r="G224" s="163"/>
      <c r="H224" s="163"/>
      <c r="I224" s="163"/>
      <c r="J224" s="163"/>
      <c r="K224" s="163"/>
      <c r="L224" s="163"/>
    </row>
    <row r="225" spans="1:12" s="3" customFormat="1" ht="15.75" customHeight="1">
      <c r="A225" s="101" t="s">
        <v>94</v>
      </c>
      <c r="B225" s="101"/>
      <c r="C225" s="123"/>
      <c r="D225" s="101"/>
      <c r="E225" s="124"/>
      <c r="F225" s="101"/>
      <c r="G225" s="124"/>
      <c r="H225" s="101"/>
      <c r="I225" s="101"/>
      <c r="J225" s="101"/>
      <c r="K225" s="101"/>
      <c r="L225" s="101"/>
    </row>
    <row r="226" spans="1:12" s="3" customFormat="1" ht="15.75" customHeight="1">
      <c r="A226" s="96"/>
      <c r="B226" s="96"/>
      <c r="C226" s="96"/>
      <c r="D226" s="97"/>
      <c r="E226" s="97"/>
      <c r="F226" s="96"/>
      <c r="G226" s="97"/>
      <c r="H226" s="96"/>
      <c r="I226" s="96"/>
      <c r="J226" s="96"/>
      <c r="K226" s="96"/>
      <c r="L226" s="96"/>
    </row>
    <row r="227" spans="1:13" s="3" customFormat="1" ht="15.75" customHeight="1">
      <c r="A227" s="98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</row>
    <row r="228" spans="1:12" s="3" customFormat="1" ht="15.75" customHeight="1">
      <c r="A228" s="100"/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</row>
    <row r="229" spans="1:12" s="3" customFormat="1" ht="15.75" customHeight="1">
      <c r="A229" s="100"/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</row>
    <row r="230" spans="1:12" s="3" customFormat="1" ht="15.75" customHeight="1">
      <c r="A230" s="96"/>
      <c r="B230" s="96"/>
      <c r="C230" s="96"/>
      <c r="D230" s="96"/>
      <c r="E230" s="96"/>
      <c r="F230" s="96"/>
      <c r="G230" s="96"/>
      <c r="H230" s="96"/>
      <c r="I230" s="96"/>
      <c r="J230" s="96"/>
      <c r="K230" s="96"/>
      <c r="L230" s="96"/>
    </row>
    <row r="231" spans="1:12" s="3" customFormat="1" ht="15.75" customHeight="1">
      <c r="A231" s="96"/>
      <c r="B231" s="96"/>
      <c r="C231" s="96"/>
      <c r="D231" s="96"/>
      <c r="E231" s="96"/>
      <c r="F231" s="96"/>
      <c r="G231" s="96"/>
      <c r="H231" s="96"/>
      <c r="I231" s="96"/>
      <c r="J231" s="96"/>
      <c r="K231" s="96"/>
      <c r="L231" s="96"/>
    </row>
    <row r="232" spans="1:12" s="3" customFormat="1" ht="15.75" customHeight="1">
      <c r="A232" s="246" t="s">
        <v>103</v>
      </c>
      <c r="B232" s="246"/>
      <c r="C232" s="246" t="s">
        <v>97</v>
      </c>
      <c r="D232" s="246"/>
      <c r="E232" s="246"/>
      <c r="F232" s="246"/>
      <c r="G232" s="247" t="s">
        <v>138</v>
      </c>
      <c r="H232" s="247"/>
      <c r="I232" s="247"/>
      <c r="J232" s="247"/>
      <c r="K232" s="247"/>
      <c r="L232" s="96"/>
    </row>
    <row r="233" spans="1:12" s="3" customFormat="1" ht="15.75" customHeight="1">
      <c r="A233" s="246" t="s">
        <v>96</v>
      </c>
      <c r="B233" s="246"/>
      <c r="C233" s="246" t="s">
        <v>98</v>
      </c>
      <c r="D233" s="246"/>
      <c r="E233" s="246"/>
      <c r="F233" s="246"/>
      <c r="G233" s="247" t="s">
        <v>139</v>
      </c>
      <c r="H233" s="247"/>
      <c r="I233" s="247"/>
      <c r="J233" s="247"/>
      <c r="K233" s="247"/>
      <c r="L233" s="96"/>
    </row>
    <row r="234" spans="1:12" s="3" customFormat="1" ht="15.75" customHeight="1">
      <c r="A234" s="246" t="s">
        <v>95</v>
      </c>
      <c r="B234" s="246"/>
      <c r="C234" s="246" t="s">
        <v>99</v>
      </c>
      <c r="D234" s="246"/>
      <c r="E234" s="246"/>
      <c r="F234" s="246"/>
      <c r="G234" s="247" t="s">
        <v>140</v>
      </c>
      <c r="H234" s="247"/>
      <c r="I234" s="247"/>
      <c r="J234" s="247"/>
      <c r="K234" s="247"/>
      <c r="L234" s="96"/>
    </row>
    <row r="235" spans="1:12" ht="15.75" customHeight="1">
      <c r="A235" s="101"/>
      <c r="B235" s="101"/>
      <c r="C235" s="101"/>
      <c r="D235" s="101"/>
      <c r="E235" s="101"/>
      <c r="F235" s="101"/>
      <c r="G235" s="102"/>
      <c r="H235" s="102"/>
      <c r="I235" s="102"/>
      <c r="J235" s="102"/>
      <c r="K235" s="102"/>
      <c r="L235" s="101"/>
    </row>
    <row r="236" spans="1:12" ht="11.25" customHeight="1">
      <c r="A236" s="101"/>
      <c r="B236" s="101"/>
      <c r="C236" s="101"/>
      <c r="D236" s="101"/>
      <c r="E236" s="101"/>
      <c r="F236" s="101"/>
      <c r="G236" s="101"/>
      <c r="H236" s="101"/>
      <c r="I236" s="101"/>
      <c r="J236" s="101"/>
      <c r="K236" s="101"/>
      <c r="L236" s="101"/>
    </row>
    <row r="237" spans="1:12" ht="11.25" customHeight="1">
      <c r="A237" s="101"/>
      <c r="B237" s="101"/>
      <c r="C237" s="101"/>
      <c r="D237" s="101"/>
      <c r="E237" s="101"/>
      <c r="F237" s="101"/>
      <c r="G237" s="101"/>
      <c r="H237" s="101"/>
      <c r="I237" s="101"/>
      <c r="J237" s="101"/>
      <c r="K237" s="101"/>
      <c r="L237" s="101"/>
    </row>
    <row r="238" spans="1:12" ht="11.25" customHeight="1">
      <c r="A238" s="101"/>
      <c r="B238" s="101"/>
      <c r="C238" s="101"/>
      <c r="D238" s="101"/>
      <c r="E238" s="101"/>
      <c r="F238" s="101"/>
      <c r="G238" s="101"/>
      <c r="H238" s="101"/>
      <c r="I238" s="101"/>
      <c r="J238" s="101"/>
      <c r="K238" s="101"/>
      <c r="L238" s="101"/>
    </row>
    <row r="239" spans="1:12" ht="11.25" customHeight="1">
      <c r="A239" s="101"/>
      <c r="B239" s="101"/>
      <c r="C239" s="101"/>
      <c r="D239" s="101"/>
      <c r="E239" s="101"/>
      <c r="F239" s="101"/>
      <c r="G239" s="101"/>
      <c r="H239" s="101"/>
      <c r="I239" s="101"/>
      <c r="J239" s="101"/>
      <c r="K239" s="101"/>
      <c r="L239" s="101"/>
    </row>
    <row r="240" spans="1:12" ht="11.25" customHeight="1">
      <c r="A240" s="101"/>
      <c r="B240" s="101"/>
      <c r="C240" s="101"/>
      <c r="D240" s="101"/>
      <c r="E240" s="101"/>
      <c r="F240" s="101"/>
      <c r="G240" s="101"/>
      <c r="H240" s="101"/>
      <c r="I240" s="101"/>
      <c r="J240" s="101"/>
      <c r="K240" s="101"/>
      <c r="L240" s="101"/>
    </row>
    <row r="241" spans="1:12" ht="11.25" customHeight="1">
      <c r="A241" s="101"/>
      <c r="B241" s="101"/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</row>
    <row r="242" spans="1:12" ht="11.25" customHeight="1">
      <c r="A242" s="101"/>
      <c r="B242" s="101"/>
      <c r="C242" s="101"/>
      <c r="D242" s="101"/>
      <c r="E242" s="101"/>
      <c r="F242" s="101"/>
      <c r="G242" s="101"/>
      <c r="H242" s="101"/>
      <c r="I242" s="101"/>
      <c r="J242" s="101"/>
      <c r="K242" s="101"/>
      <c r="L242" s="101"/>
    </row>
    <row r="243" spans="1:12" ht="11.25" customHeight="1">
      <c r="A243" s="103"/>
      <c r="B243" s="103"/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</row>
    <row r="244" spans="1:12" ht="11.25" customHeight="1">
      <c r="A244" s="103"/>
      <c r="B244" s="103"/>
      <c r="C244" s="103"/>
      <c r="D244" s="103"/>
      <c r="E244" s="103"/>
      <c r="F244" s="103"/>
      <c r="G244" s="103"/>
      <c r="H244" s="103"/>
      <c r="I244" s="103"/>
      <c r="J244" s="103"/>
      <c r="K244" s="103"/>
      <c r="L244" s="103"/>
    </row>
    <row r="245" spans="1:12" ht="11.25" customHeight="1">
      <c r="A245" s="103"/>
      <c r="B245" s="103"/>
      <c r="C245" s="103"/>
      <c r="D245" s="103"/>
      <c r="E245" s="103"/>
      <c r="F245" s="103"/>
      <c r="G245" s="103"/>
      <c r="H245" s="103"/>
      <c r="I245" s="103"/>
      <c r="J245" s="103"/>
      <c r="K245" s="103"/>
      <c r="L245" s="103"/>
    </row>
    <row r="246" spans="1:12" ht="11.25" customHeight="1">
      <c r="A246" s="103"/>
      <c r="B246" s="103"/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</row>
  </sheetData>
  <sheetProtection/>
  <mergeCells count="552">
    <mergeCell ref="A232:B232"/>
    <mergeCell ref="A233:B233"/>
    <mergeCell ref="A77:B77"/>
    <mergeCell ref="J77:L77"/>
    <mergeCell ref="G77:H77"/>
    <mergeCell ref="J82:L82"/>
    <mergeCell ref="A82:B82"/>
    <mergeCell ref="G78:H78"/>
    <mergeCell ref="G82:H82"/>
    <mergeCell ref="G79:H79"/>
    <mergeCell ref="G65:H65"/>
    <mergeCell ref="G68:H68"/>
    <mergeCell ref="G69:H69"/>
    <mergeCell ref="G66:H66"/>
    <mergeCell ref="A68:B68"/>
    <mergeCell ref="J73:L73"/>
    <mergeCell ref="G70:H70"/>
    <mergeCell ref="A66:B66"/>
    <mergeCell ref="J66:L66"/>
    <mergeCell ref="A234:B234"/>
    <mergeCell ref="H214:I214"/>
    <mergeCell ref="K214:L214"/>
    <mergeCell ref="G232:K232"/>
    <mergeCell ref="G233:K233"/>
    <mergeCell ref="G234:K234"/>
    <mergeCell ref="C232:F232"/>
    <mergeCell ref="C233:F233"/>
    <mergeCell ref="C234:F234"/>
    <mergeCell ref="A224:L224"/>
    <mergeCell ref="A6:L6"/>
    <mergeCell ref="A7:L7"/>
    <mergeCell ref="A8:L8"/>
    <mergeCell ref="A9:L9"/>
    <mergeCell ref="A10:L10"/>
    <mergeCell ref="C14:C16"/>
    <mergeCell ref="E14:I14"/>
    <mergeCell ref="J15:L15"/>
    <mergeCell ref="G16:H16"/>
    <mergeCell ref="J16:L16"/>
    <mergeCell ref="J25:L25"/>
    <mergeCell ref="A24:B24"/>
    <mergeCell ref="G24:H24"/>
    <mergeCell ref="A14:B16"/>
    <mergeCell ref="A18:B18"/>
    <mergeCell ref="G18:H18"/>
    <mergeCell ref="J14:L14"/>
    <mergeCell ref="G15:H15"/>
    <mergeCell ref="A19:B19"/>
    <mergeCell ref="G19:H19"/>
    <mergeCell ref="J19:L19"/>
    <mergeCell ref="A17:B17"/>
    <mergeCell ref="G17:H17"/>
    <mergeCell ref="A20:B20"/>
    <mergeCell ref="G20:H20"/>
    <mergeCell ref="J20:L20"/>
    <mergeCell ref="J17:L17"/>
    <mergeCell ref="J18:L18"/>
    <mergeCell ref="J22:L22"/>
    <mergeCell ref="J30:L30"/>
    <mergeCell ref="A21:B21"/>
    <mergeCell ref="G21:H21"/>
    <mergeCell ref="J21:L21"/>
    <mergeCell ref="A23:B23"/>
    <mergeCell ref="A28:B28"/>
    <mergeCell ref="G23:H23"/>
    <mergeCell ref="J23:L23"/>
    <mergeCell ref="A22:B22"/>
    <mergeCell ref="A26:B26"/>
    <mergeCell ref="A30:B30"/>
    <mergeCell ref="A31:B31"/>
    <mergeCell ref="A29:B29"/>
    <mergeCell ref="J29:L29"/>
    <mergeCell ref="J26:L26"/>
    <mergeCell ref="J27:L27"/>
    <mergeCell ref="G28:H28"/>
    <mergeCell ref="J28:L28"/>
    <mergeCell ref="G22:H22"/>
    <mergeCell ref="A25:B25"/>
    <mergeCell ref="G25:H25"/>
    <mergeCell ref="J24:L24"/>
    <mergeCell ref="G26:H26"/>
    <mergeCell ref="A33:B33"/>
    <mergeCell ref="J33:L33"/>
    <mergeCell ref="G32:H32"/>
    <mergeCell ref="G33:H33"/>
    <mergeCell ref="A27:B27"/>
    <mergeCell ref="G29:H29"/>
    <mergeCell ref="G27:H27"/>
    <mergeCell ref="J31:L31"/>
    <mergeCell ref="G30:H30"/>
    <mergeCell ref="A34:B34"/>
    <mergeCell ref="J34:L34"/>
    <mergeCell ref="A32:B32"/>
    <mergeCell ref="J32:L32"/>
    <mergeCell ref="G34:H34"/>
    <mergeCell ref="G31:H31"/>
    <mergeCell ref="A37:B37"/>
    <mergeCell ref="G37:H37"/>
    <mergeCell ref="J37:L37"/>
    <mergeCell ref="A35:B35"/>
    <mergeCell ref="J35:L35"/>
    <mergeCell ref="G35:H35"/>
    <mergeCell ref="A36:B36"/>
    <mergeCell ref="G36:H36"/>
    <mergeCell ref="J36:L36"/>
    <mergeCell ref="J46:L46"/>
    <mergeCell ref="G45:H45"/>
    <mergeCell ref="G46:H46"/>
    <mergeCell ref="J39:L39"/>
    <mergeCell ref="A39:B39"/>
    <mergeCell ref="A38:B38"/>
    <mergeCell ref="A44:B44"/>
    <mergeCell ref="G44:H44"/>
    <mergeCell ref="J44:L44"/>
    <mergeCell ref="J43:L43"/>
    <mergeCell ref="A48:B48"/>
    <mergeCell ref="G47:H47"/>
    <mergeCell ref="G48:H48"/>
    <mergeCell ref="J48:L48"/>
    <mergeCell ref="A47:B47"/>
    <mergeCell ref="J47:L47"/>
    <mergeCell ref="G38:H38"/>
    <mergeCell ref="J38:L38"/>
    <mergeCell ref="G39:H39"/>
    <mergeCell ref="A45:B45"/>
    <mergeCell ref="J45:L45"/>
    <mergeCell ref="A46:B46"/>
    <mergeCell ref="G41:H41"/>
    <mergeCell ref="G42:H42"/>
    <mergeCell ref="G43:H43"/>
    <mergeCell ref="J41:L41"/>
    <mergeCell ref="J49:L49"/>
    <mergeCell ref="G49:H49"/>
    <mergeCell ref="G56:H56"/>
    <mergeCell ref="A53:B53"/>
    <mergeCell ref="J53:L53"/>
    <mergeCell ref="G50:H50"/>
    <mergeCell ref="G53:H53"/>
    <mergeCell ref="J56:L56"/>
    <mergeCell ref="J52:L52"/>
    <mergeCell ref="G52:H52"/>
    <mergeCell ref="G57:H57"/>
    <mergeCell ref="J55:L55"/>
    <mergeCell ref="G54:H54"/>
    <mergeCell ref="G55:H55"/>
    <mergeCell ref="A59:B59"/>
    <mergeCell ref="J59:L59"/>
    <mergeCell ref="J57:L57"/>
    <mergeCell ref="J54:L54"/>
    <mergeCell ref="A57:B57"/>
    <mergeCell ref="A60:B60"/>
    <mergeCell ref="J58:L58"/>
    <mergeCell ref="G60:H60"/>
    <mergeCell ref="G58:H58"/>
    <mergeCell ref="G59:H59"/>
    <mergeCell ref="A58:B58"/>
    <mergeCell ref="A63:B63"/>
    <mergeCell ref="A64:B64"/>
    <mergeCell ref="G62:H62"/>
    <mergeCell ref="A61:B61"/>
    <mergeCell ref="J61:L61"/>
    <mergeCell ref="A62:B62"/>
    <mergeCell ref="J63:L63"/>
    <mergeCell ref="G61:H61"/>
    <mergeCell ref="G63:H63"/>
    <mergeCell ref="G64:H64"/>
    <mergeCell ref="G67:H67"/>
    <mergeCell ref="J70:L70"/>
    <mergeCell ref="G73:H73"/>
    <mergeCell ref="J71:L71"/>
    <mergeCell ref="J72:L72"/>
    <mergeCell ref="G72:H72"/>
    <mergeCell ref="G76:H76"/>
    <mergeCell ref="A78:B78"/>
    <mergeCell ref="A67:B67"/>
    <mergeCell ref="J67:L67"/>
    <mergeCell ref="A69:B69"/>
    <mergeCell ref="J69:L69"/>
    <mergeCell ref="A70:B70"/>
    <mergeCell ref="J68:L68"/>
    <mergeCell ref="A76:B76"/>
    <mergeCell ref="G71:H71"/>
    <mergeCell ref="G75:H75"/>
    <mergeCell ref="G74:H74"/>
    <mergeCell ref="J76:L76"/>
    <mergeCell ref="A85:B85"/>
    <mergeCell ref="G85:H85"/>
    <mergeCell ref="J79:L79"/>
    <mergeCell ref="J85:L85"/>
    <mergeCell ref="A83:B83"/>
    <mergeCell ref="G83:H83"/>
    <mergeCell ref="J83:L83"/>
    <mergeCell ref="J78:L78"/>
    <mergeCell ref="G80:H80"/>
    <mergeCell ref="J84:L84"/>
    <mergeCell ref="A79:B79"/>
    <mergeCell ref="A81:B81"/>
    <mergeCell ref="G81:H81"/>
    <mergeCell ref="A84:B84"/>
    <mergeCell ref="G84:H84"/>
    <mergeCell ref="J80:L80"/>
    <mergeCell ref="A90:B90"/>
    <mergeCell ref="G90:H90"/>
    <mergeCell ref="J90:L90"/>
    <mergeCell ref="A87:B87"/>
    <mergeCell ref="G87:H87"/>
    <mergeCell ref="J87:L87"/>
    <mergeCell ref="A89:B89"/>
    <mergeCell ref="G89:H89"/>
    <mergeCell ref="J89:L89"/>
    <mergeCell ref="A88:B88"/>
    <mergeCell ref="G88:H88"/>
    <mergeCell ref="J88:L88"/>
    <mergeCell ref="A86:B86"/>
    <mergeCell ref="G86:H86"/>
    <mergeCell ref="J86:L86"/>
    <mergeCell ref="A80:B80"/>
    <mergeCell ref="J81:L81"/>
    <mergeCell ref="A91:B91"/>
    <mergeCell ref="G91:H91"/>
    <mergeCell ref="J91:L91"/>
    <mergeCell ref="G93:H93"/>
    <mergeCell ref="J93:L93"/>
    <mergeCell ref="J92:L92"/>
    <mergeCell ref="A92:B92"/>
    <mergeCell ref="G92:H92"/>
    <mergeCell ref="A93:B93"/>
    <mergeCell ref="K97:L99"/>
    <mergeCell ref="H98:I98"/>
    <mergeCell ref="H99:I99"/>
    <mergeCell ref="J94:L94"/>
    <mergeCell ref="G94:H94"/>
    <mergeCell ref="J95:L95"/>
    <mergeCell ref="A95:B95"/>
    <mergeCell ref="A94:B94"/>
    <mergeCell ref="H104:I104"/>
    <mergeCell ref="H105:I105"/>
    <mergeCell ref="H100:I100"/>
    <mergeCell ref="A97:A100"/>
    <mergeCell ref="H103:I103"/>
    <mergeCell ref="G95:H95"/>
    <mergeCell ref="D97:E97"/>
    <mergeCell ref="G97:I97"/>
    <mergeCell ref="K100:L100"/>
    <mergeCell ref="H101:I101"/>
    <mergeCell ref="K101:L101"/>
    <mergeCell ref="H102:I102"/>
    <mergeCell ref="K102:L102"/>
    <mergeCell ref="K103:L103"/>
    <mergeCell ref="K110:L110"/>
    <mergeCell ref="K111:L111"/>
    <mergeCell ref="K104:L104"/>
    <mergeCell ref="H106:I106"/>
    <mergeCell ref="K106:L106"/>
    <mergeCell ref="K105:L105"/>
    <mergeCell ref="H107:I107"/>
    <mergeCell ref="K107:L107"/>
    <mergeCell ref="H114:I114"/>
    <mergeCell ref="K114:L114"/>
    <mergeCell ref="H108:I108"/>
    <mergeCell ref="K108:L108"/>
    <mergeCell ref="H112:I112"/>
    <mergeCell ref="K112:L112"/>
    <mergeCell ref="H109:I109"/>
    <mergeCell ref="H110:I110"/>
    <mergeCell ref="H111:I111"/>
    <mergeCell ref="K109:L109"/>
    <mergeCell ref="K123:L123"/>
    <mergeCell ref="H121:I121"/>
    <mergeCell ref="H123:I123"/>
    <mergeCell ref="H115:I115"/>
    <mergeCell ref="K115:L115"/>
    <mergeCell ref="H116:I116"/>
    <mergeCell ref="K116:L116"/>
    <mergeCell ref="K117:L117"/>
    <mergeCell ref="A134:L134"/>
    <mergeCell ref="K120:L120"/>
    <mergeCell ref="H118:I118"/>
    <mergeCell ref="J139:L139"/>
    <mergeCell ref="A135:L135"/>
    <mergeCell ref="K121:L121"/>
    <mergeCell ref="H122:I122"/>
    <mergeCell ref="K118:L118"/>
    <mergeCell ref="K122:L122"/>
    <mergeCell ref="H119:I119"/>
    <mergeCell ref="H113:I113"/>
    <mergeCell ref="K113:L113"/>
    <mergeCell ref="K125:L125"/>
    <mergeCell ref="H125:I125"/>
    <mergeCell ref="H117:I117"/>
    <mergeCell ref="A133:L133"/>
    <mergeCell ref="K119:L119"/>
    <mergeCell ref="H120:I120"/>
    <mergeCell ref="H124:I124"/>
    <mergeCell ref="K124:L124"/>
    <mergeCell ref="G141:H141"/>
    <mergeCell ref="J141:L141"/>
    <mergeCell ref="A142:B142"/>
    <mergeCell ref="G142:H142"/>
    <mergeCell ref="J142:L142"/>
    <mergeCell ref="C139:C141"/>
    <mergeCell ref="E139:I139"/>
    <mergeCell ref="G140:H140"/>
    <mergeCell ref="J140:L140"/>
    <mergeCell ref="A139:B141"/>
    <mergeCell ref="A143:B143"/>
    <mergeCell ref="G143:H143"/>
    <mergeCell ref="J143:L143"/>
    <mergeCell ref="A144:B144"/>
    <mergeCell ref="G144:H144"/>
    <mergeCell ref="J144:L144"/>
    <mergeCell ref="A145:B145"/>
    <mergeCell ref="G145:H145"/>
    <mergeCell ref="J145:L145"/>
    <mergeCell ref="A146:B146"/>
    <mergeCell ref="G146:H146"/>
    <mergeCell ref="J146:L146"/>
    <mergeCell ref="A148:B148"/>
    <mergeCell ref="G148:H148"/>
    <mergeCell ref="J148:L148"/>
    <mergeCell ref="A149:B149"/>
    <mergeCell ref="G149:H149"/>
    <mergeCell ref="J149:L149"/>
    <mergeCell ref="A150:B150"/>
    <mergeCell ref="G150:H150"/>
    <mergeCell ref="J150:L150"/>
    <mergeCell ref="A153:B153"/>
    <mergeCell ref="G153:H153"/>
    <mergeCell ref="J153:L153"/>
    <mergeCell ref="J151:L151"/>
    <mergeCell ref="G152:H152"/>
    <mergeCell ref="J152:L152"/>
    <mergeCell ref="A151:B151"/>
    <mergeCell ref="A154:B154"/>
    <mergeCell ref="G154:H154"/>
    <mergeCell ref="J154:L154"/>
    <mergeCell ref="A155:B155"/>
    <mergeCell ref="G155:H155"/>
    <mergeCell ref="J155:L155"/>
    <mergeCell ref="A156:B156"/>
    <mergeCell ref="G156:H156"/>
    <mergeCell ref="J156:L156"/>
    <mergeCell ref="A157:B157"/>
    <mergeCell ref="G157:H157"/>
    <mergeCell ref="J157:L157"/>
    <mergeCell ref="A158:B158"/>
    <mergeCell ref="G158:H158"/>
    <mergeCell ref="J158:L158"/>
    <mergeCell ref="A159:B159"/>
    <mergeCell ref="G159:H159"/>
    <mergeCell ref="J159:L159"/>
    <mergeCell ref="G165:H165"/>
    <mergeCell ref="J165:L165"/>
    <mergeCell ref="A160:B160"/>
    <mergeCell ref="G160:H160"/>
    <mergeCell ref="J160:L160"/>
    <mergeCell ref="A161:B161"/>
    <mergeCell ref="G161:H161"/>
    <mergeCell ref="J162:L162"/>
    <mergeCell ref="A162:B162"/>
    <mergeCell ref="J161:L161"/>
    <mergeCell ref="J65:L65"/>
    <mergeCell ref="J64:L64"/>
    <mergeCell ref="J62:L62"/>
    <mergeCell ref="J60:L60"/>
    <mergeCell ref="A164:B164"/>
    <mergeCell ref="G164:H164"/>
    <mergeCell ref="J164:L164"/>
    <mergeCell ref="A147:B147"/>
    <mergeCell ref="G147:H147"/>
    <mergeCell ref="J147:L147"/>
    <mergeCell ref="J42:L42"/>
    <mergeCell ref="A152:B152"/>
    <mergeCell ref="G51:H51"/>
    <mergeCell ref="G40:H40"/>
    <mergeCell ref="A163:B163"/>
    <mergeCell ref="G163:H163"/>
    <mergeCell ref="J163:L163"/>
    <mergeCell ref="J40:L40"/>
    <mergeCell ref="G162:H162"/>
    <mergeCell ref="A40:B40"/>
    <mergeCell ref="J50:L50"/>
    <mergeCell ref="J51:L51"/>
    <mergeCell ref="J172:L172"/>
    <mergeCell ref="A169:B169"/>
    <mergeCell ref="G169:H169"/>
    <mergeCell ref="J169:L169"/>
    <mergeCell ref="G170:H170"/>
    <mergeCell ref="J170:L170"/>
    <mergeCell ref="A172:B172"/>
    <mergeCell ref="G166:H166"/>
    <mergeCell ref="J174:L174"/>
    <mergeCell ref="A73:B73"/>
    <mergeCell ref="A74:B74"/>
    <mergeCell ref="A75:B75"/>
    <mergeCell ref="J74:L74"/>
    <mergeCell ref="J75:L75"/>
    <mergeCell ref="A167:B167"/>
    <mergeCell ref="G171:H171"/>
    <mergeCell ref="J171:L171"/>
    <mergeCell ref="G172:H172"/>
    <mergeCell ref="J179:L179"/>
    <mergeCell ref="A55:B55"/>
    <mergeCell ref="A56:B56"/>
    <mergeCell ref="A65:B65"/>
    <mergeCell ref="A71:B71"/>
    <mergeCell ref="A72:B72"/>
    <mergeCell ref="G173:H173"/>
    <mergeCell ref="J173:L173"/>
    <mergeCell ref="A170:B170"/>
    <mergeCell ref="G174:H174"/>
    <mergeCell ref="J175:L175"/>
    <mergeCell ref="G176:H176"/>
    <mergeCell ref="J176:L176"/>
    <mergeCell ref="A178:B178"/>
    <mergeCell ref="G178:H178"/>
    <mergeCell ref="J178:L178"/>
    <mergeCell ref="G175:H175"/>
    <mergeCell ref="A175:B175"/>
    <mergeCell ref="A176:B176"/>
    <mergeCell ref="A177:B177"/>
    <mergeCell ref="J184:L184"/>
    <mergeCell ref="G182:H182"/>
    <mergeCell ref="J182:L182"/>
    <mergeCell ref="A41:B41"/>
    <mergeCell ref="A42:B42"/>
    <mergeCell ref="A43:B43"/>
    <mergeCell ref="A49:B49"/>
    <mergeCell ref="A50:B50"/>
    <mergeCell ref="A51:B51"/>
    <mergeCell ref="A52:B52"/>
    <mergeCell ref="A183:B183"/>
    <mergeCell ref="A54:B54"/>
    <mergeCell ref="A173:B173"/>
    <mergeCell ref="A174:B174"/>
    <mergeCell ref="A168:B168"/>
    <mergeCell ref="J188:L188"/>
    <mergeCell ref="G185:H185"/>
    <mergeCell ref="J185:L185"/>
    <mergeCell ref="G186:H186"/>
    <mergeCell ref="J186:L186"/>
    <mergeCell ref="G183:H183"/>
    <mergeCell ref="J183:L183"/>
    <mergeCell ref="A184:B184"/>
    <mergeCell ref="G184:H184"/>
    <mergeCell ref="A189:B189"/>
    <mergeCell ref="G189:H189"/>
    <mergeCell ref="J189:L189"/>
    <mergeCell ref="A185:B185"/>
    <mergeCell ref="A186:B186"/>
    <mergeCell ref="A187:B187"/>
    <mergeCell ref="G187:H187"/>
    <mergeCell ref="J187:L187"/>
    <mergeCell ref="A188:B188"/>
    <mergeCell ref="G188:H188"/>
    <mergeCell ref="A191:B191"/>
    <mergeCell ref="G190:H190"/>
    <mergeCell ref="G192:H192"/>
    <mergeCell ref="J192:L192"/>
    <mergeCell ref="G193:H193"/>
    <mergeCell ref="J193:L193"/>
    <mergeCell ref="G191:H191"/>
    <mergeCell ref="J191:L191"/>
    <mergeCell ref="J196:L196"/>
    <mergeCell ref="A193:B193"/>
    <mergeCell ref="G197:H197"/>
    <mergeCell ref="J197:L197"/>
    <mergeCell ref="G194:H194"/>
    <mergeCell ref="J194:L194"/>
    <mergeCell ref="A194:B194"/>
    <mergeCell ref="G195:H195"/>
    <mergeCell ref="J195:L195"/>
    <mergeCell ref="A195:B195"/>
    <mergeCell ref="J203:L203"/>
    <mergeCell ref="A203:B203"/>
    <mergeCell ref="J202:L202"/>
    <mergeCell ref="A204:B204"/>
    <mergeCell ref="J198:L198"/>
    <mergeCell ref="G199:H199"/>
    <mergeCell ref="J199:L199"/>
    <mergeCell ref="J201:L201"/>
    <mergeCell ref="A199:B199"/>
    <mergeCell ref="J200:L200"/>
    <mergeCell ref="H211:I211"/>
    <mergeCell ref="K211:L211"/>
    <mergeCell ref="H212:I212"/>
    <mergeCell ref="K212:L212"/>
    <mergeCell ref="H210:I210"/>
    <mergeCell ref="K210:L210"/>
    <mergeCell ref="H213:I213"/>
    <mergeCell ref="K213:L213"/>
    <mergeCell ref="H215:I215"/>
    <mergeCell ref="K215:L215"/>
    <mergeCell ref="H216:I216"/>
    <mergeCell ref="K216:L216"/>
    <mergeCell ref="A223:L223"/>
    <mergeCell ref="H217:I217"/>
    <mergeCell ref="K217:L217"/>
    <mergeCell ref="H218:I218"/>
    <mergeCell ref="K218:L218"/>
    <mergeCell ref="H219:I219"/>
    <mergeCell ref="K219:L219"/>
    <mergeCell ref="K207:L209"/>
    <mergeCell ref="A131:L131"/>
    <mergeCell ref="A132:L132"/>
    <mergeCell ref="A166:B166"/>
    <mergeCell ref="G151:H151"/>
    <mergeCell ref="A165:B165"/>
    <mergeCell ref="A171:B171"/>
    <mergeCell ref="H208:I208"/>
    <mergeCell ref="H209:I209"/>
    <mergeCell ref="A207:A210"/>
    <mergeCell ref="G167:H167"/>
    <mergeCell ref="D207:E207"/>
    <mergeCell ref="G207:I207"/>
    <mergeCell ref="A200:B200"/>
    <mergeCell ref="G204:H204"/>
    <mergeCell ref="G198:H198"/>
    <mergeCell ref="A201:B201"/>
    <mergeCell ref="G205:H205"/>
    <mergeCell ref="G200:H200"/>
    <mergeCell ref="G203:H203"/>
    <mergeCell ref="G177:H177"/>
    <mergeCell ref="J177:L177"/>
    <mergeCell ref="A190:B190"/>
    <mergeCell ref="G201:H201"/>
    <mergeCell ref="G196:H196"/>
    <mergeCell ref="A192:B192"/>
    <mergeCell ref="A179:B179"/>
    <mergeCell ref="A180:B180"/>
    <mergeCell ref="A181:B181"/>
    <mergeCell ref="G179:H179"/>
    <mergeCell ref="A205:B205"/>
    <mergeCell ref="A182:B182"/>
    <mergeCell ref="J190:L190"/>
    <mergeCell ref="A196:B196"/>
    <mergeCell ref="A197:B197"/>
    <mergeCell ref="A198:B198"/>
    <mergeCell ref="A202:B202"/>
    <mergeCell ref="G202:H202"/>
    <mergeCell ref="J204:L204"/>
    <mergeCell ref="J205:L205"/>
    <mergeCell ref="H206:I206"/>
    <mergeCell ref="K206:L206"/>
    <mergeCell ref="J180:L180"/>
    <mergeCell ref="G181:H181"/>
    <mergeCell ref="J181:L181"/>
    <mergeCell ref="J166:L166"/>
    <mergeCell ref="J167:L167"/>
    <mergeCell ref="J168:L168"/>
    <mergeCell ref="G168:H168"/>
    <mergeCell ref="G180:H180"/>
  </mergeCells>
  <printOptions horizontalCentered="1"/>
  <pageMargins left="0.3937007874015748" right="0.3937007874015748" top="0.3937007874015748" bottom="0.3937007874015748" header="0" footer="0.1968503937007874"/>
  <pageSetup fitToHeight="0" fitToWidth="1" horizontalDpi="600" verticalDpi="600" orientation="portrait" paperSize="9" scale="37" r:id="rId2"/>
  <rowBreaks count="1" manualBreakCount="1">
    <brk id="126" max="11" man="1"/>
  </rowBreaks>
  <ignoredErrors>
    <ignoredError sqref="F114:F116 J114:J116 J101 F119:G119 J119 F101:F103 F215:F216 F211:F213 E28 E23 E192 E187 E178 E153 E148 E38 E201 D119 D216:E216 G216 J91 E44 E53 E58 E155:E163 E165:E166 E167 E169 E76 E75:F75 E77:F80 F76 E67 E71 E82 F91 G90:H90 H92 F90 G91:H91 E72:E74" formula="1"/>
    <ignoredError sqref="B102:C102 C117 K102:L102 B108:E108 K108 L114 H102 K122:L122 I122 L115 B120:C120 B121:C121 L116 L119 D102:E102 C76:D76 C153:D153 C28:D28 C201:D201" formulaRange="1"/>
    <ignoredError sqref="F108:G108 G102 F104:F107 F109:F111 J102 I114 J107:J110 F112 J112 F142:F143 F17:F21 F23 F28:F31 F44:F47 F58:F59 F81:F82 F69:F74 F67:F68 F92 F61:F64" formula="1" formulaRange="1"/>
    <ignoredError sqref="I142 F22 F32 F24:F27 I17:I19 F35:F43 F48:F51 F53:F57 F65:F66 F144:F158 F163:F173 F178:F182 I143:I157 I82 I70 I67 I65 I62 I58:I59 I52:I53 I50 I25:I28 I22:I23 I38 I75:I81 I44 I20:I21 I45:I49 I83:I92 I39:I43 I24 I29:I37 I51 I54:I57 I61 I63:I64 I66 I68:I69 I71:I74 I163:I186" evalError="1"/>
    <ignoredError sqref="F142:F143 F17:F21 F23 F28:F31 F44:F47 F58:F59 F81:F82 F69:F74 F67:F68 F92 F61:F64" evalError="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Dcpacheco</dc:creator>
  <cp:keywords/>
  <dc:description/>
  <cp:lastModifiedBy>Yago Barros Barbosa</cp:lastModifiedBy>
  <cp:lastPrinted>2019-11-14T15:57:36Z</cp:lastPrinted>
  <dcterms:created xsi:type="dcterms:W3CDTF">2005-03-07T15:54:32Z</dcterms:created>
  <dcterms:modified xsi:type="dcterms:W3CDTF">2019-11-29T21:14:49Z</dcterms:modified>
  <cp:category/>
  <cp:version/>
  <cp:contentType/>
  <cp:contentStatus/>
</cp:coreProperties>
</file>