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0920" windowHeight="658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Orçamentário'!$A$1:$L$237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<sst xmlns="http://schemas.openxmlformats.org/spreadsheetml/2006/main" count="286" uniqueCount="154">
  <si>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</si>
  <si>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</si>
  <si>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</si>
  <si>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</si>
  <si>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</si>
  <si>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</si>
  <si>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</si>
  <si>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</si>
  <si>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</si>
  <si>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</si>
  <si>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</si>
  <si>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</si>
  <si>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</si>
  <si>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</si>
  <si>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</si>
  <si>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</si>
  <si>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</si>
  <si>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</si>
  <si>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</si>
  <si>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</si>
  <si>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</si>
  <si>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</si>
  <si>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</si>
  <si>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</si>
  <si>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</si>
  <si>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</si>
  <si>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</si>
  <si>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GOVERNO DO ESTADO DO RIO DE JANEIRO</t>
  </si>
  <si>
    <t>SUBTOTAL DAS RECEITAS (III) = (I + II)</t>
  </si>
  <si>
    <t>SUBTOTAL DAS DESPESAS (X) = (VIII + IX)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</si>
  <si>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</si>
  <si>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</si>
  <si>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</si>
  <si>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</si>
  <si>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</si>
  <si>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</si>
  <si>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</si>
  <si>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</si>
  <si>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</si>
  <si>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</si>
  <si>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</si>
  <si>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</si>
  <si>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</si>
  <si>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</si>
  <si>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</si>
  <si>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</si>
  <si>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</si>
  <si>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</si>
  <si>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</si>
  <si>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</si>
  <si>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</si>
  <si>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</si>
  <si>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</si>
  <si>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</si>
  <si>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</si>
  <si>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</si>
  <si>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</si>
  <si>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</si>
  <si>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</si>
  <si>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</si>
  <si>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</si>
  <si>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</si>
  <si>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</si>
  <si>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</si>
  <si>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</si>
  <si>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</si>
  <si>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</si>
  <si>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</si>
  <si>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</si>
  <si>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</si>
  <si>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</si>
  <si>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</si>
  <si>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</si>
  <si>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</si>
  <si>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</si>
  <si>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</si>
  <si>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</si>
  <si>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</si>
  <si>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</si>
  <si>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</si>
  <si>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</si>
  <si>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</si>
  <si>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</si>
  <si>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</si>
  <si>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</si>
  <si>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</si>
  <si>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</si>
  <si>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</si>
  <si>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</si>
  <si>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</si>
  <si>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</si>
  <si>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</si>
  <si>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</si>
  <si>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</si>
  <si>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</si>
  <si>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</si>
  <si>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</si>
  <si>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</si>
  <si>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</si>
  <si>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</si>
  <si>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</si>
  <si>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</si>
  <si>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</si>
  <si>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</si>
  <si>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</si>
  <si>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</si>
  <si>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</si>
  <si>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</si>
  <si>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</si>
  <si>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</si>
  <si>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</si>
  <si>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</si>
  <si>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</si>
  <si>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</si>
  <si>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</si>
  <si>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</si>
  <si>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</si>
  <si>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</si>
  <si>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</si>
  <si>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</si>
  <si>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</si>
  <si>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</si>
  <si>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</si>
  <si>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</si>
  <si>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</si>
  <si>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</si>
  <si>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FONTE: Siafe-Rio - Secretaria de Estado de Fazenda.</t>
  </si>
  <si>
    <t xml:space="preserve">        IMPOSTOS, TAXAS E CONTRIBUIÇÕES DE MELHORIA</t>
  </si>
  <si>
    <t xml:space="preserve"> Contribuição de Melhoria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</si>
  <si>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</si>
  <si>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</si>
  <si>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</si>
  <si>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 xml:space="preserve">        CONTRIBUIÇÕES</t>
  </si>
  <si>
    <t>TOTAL DAS RECEITAS (V) = (III + IV)</t>
  </si>
  <si>
    <r>
      <t>DÉFICIT (VI)</t>
    </r>
    <r>
      <rPr>
        <b/>
        <vertAlign val="superscript"/>
        <sz val="12"/>
        <rFont val="Times New Roman"/>
        <family val="1"/>
      </rPr>
      <t>1</t>
    </r>
  </si>
  <si>
    <t>TOTAL COM DÉFICIT (VII) = (V + VI)</t>
  </si>
  <si>
    <t>SALDOS DE EXERCÍCIOS ANTERIORES</t>
  </si>
  <si>
    <r>
      <t xml:space="preserve">           Transferências a Municípios</t>
    </r>
    <r>
      <rPr>
        <vertAlign val="superscript"/>
        <sz val="12"/>
        <rFont val="Times New Roman"/>
        <family val="1"/>
      </rPr>
      <t>2</t>
    </r>
  </si>
  <si>
    <r>
      <t xml:space="preserve">           Demais Despesas Correntes</t>
    </r>
    <r>
      <rPr>
        <vertAlign val="superscript"/>
        <sz val="12"/>
        <rFont val="Times New Roman"/>
        <family val="1"/>
      </rPr>
      <t>2</t>
    </r>
  </si>
  <si>
    <t>TOTAL DAS DESPESAS (XII) = (X + XI)</t>
  </si>
  <si>
    <t>TOTAL COM SUPERÁVIT (XIV) = (XII + XIII)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</si>
  <si>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O déficit será apurado pela diferença entre a receita realizada e a despesa liquidada nos cinco primeiros bimestres e a despesa empenhada no último bimestre.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</si>
  <si>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Essa linha será apresentada somente no Demonstrativo aplicado aos Estados.</t>
    </r>
  </si>
  <si>
    <t>Yasmim da Costa Monteiro</t>
  </si>
  <si>
    <t>Subsecretária de Contabilidade Geral - ID: 4.461.243-5</t>
  </si>
  <si>
    <t>Contadora - CRC-RJ-114428/O-0</t>
  </si>
  <si>
    <t xml:space="preserve">          2 - Imprensa Oficial, CEDAE e AGERIO não constam nos Orçamentos Fiscal e da Seguridade Social no exercício de 2022.</t>
  </si>
  <si>
    <t xml:space="preserve"> 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</si>
  <si>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  Outras Transferências</t>
  </si>
  <si>
    <t xml:space="preserve">            Multas e Juros de Mora das Receitas de Capital</t>
  </si>
  <si>
    <t xml:space="preserve">    RESERVA DE CONTIGÊNCIA</t>
  </si>
  <si>
    <t>JANEIRO A AGOSTO 2022/BIMESTRE JULHO - AGOSTO</t>
  </si>
  <si>
    <t>Emissão: 21/09/2022</t>
  </si>
  <si>
    <t xml:space="preserve">            Outras Transferências de Capital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</si>
</sst>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  <numFmt numFmtId="186" formatCode="_(* #,##0.0000_);_(* \(#,##0.0000\);_(* &quot;-&quot;_);_(@_)"/>
  </numFmts>
  <fonts count="5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49" applyNumberFormat="1" applyFont="1" applyFill="1" applyAlignment="1">
      <alignment/>
      <protection/>
    </xf>
    <xf numFmtId="0" fontId="2" fillId="0" borderId="0" xfId="49" applyNumberFormat="1" applyFont="1" applyFill="1" applyAlignment="1">
      <alignment/>
      <protection/>
    </xf>
    <xf numFmtId="0" fontId="3" fillId="0" borderId="0" xfId="49" applyNumberFormat="1" applyFont="1" applyFill="1" applyAlignment="1">
      <alignment/>
      <protection/>
    </xf>
    <xf numFmtId="0" fontId="4" fillId="0" borderId="0" xfId="49" applyNumberFormat="1" applyFont="1" applyFill="1" applyAlignment="1">
      <alignment/>
      <protection/>
    </xf>
    <xf numFmtId="49" fontId="4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 horizontal="center"/>
      <protection/>
    </xf>
    <xf numFmtId="0" fontId="3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/>
      <protection/>
    </xf>
    <xf numFmtId="0" fontId="3" fillId="0" borderId="0" xfId="49" applyFont="1" applyFill="1" applyBorder="1" applyAlignment="1">
      <alignment/>
      <protection/>
    </xf>
    <xf numFmtId="0" fontId="3" fillId="0" borderId="0" xfId="49" applyFont="1" applyFill="1" applyAlignment="1">
      <alignment/>
      <protection/>
    </xf>
    <xf numFmtId="172" fontId="3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horizontal="right"/>
      <protection/>
    </xf>
    <xf numFmtId="167" fontId="3" fillId="0" borderId="0" xfId="49" applyNumberFormat="1" applyFont="1" applyFill="1" applyAlignment="1">
      <alignment horizontal="right"/>
      <protection/>
    </xf>
    <xf numFmtId="169" fontId="1" fillId="33" borderId="10" xfId="66" applyNumberFormat="1" applyFont="1" applyFill="1" applyBorder="1" applyAlignment="1">
      <alignment horizontal="right"/>
    </xf>
    <xf numFmtId="169" fontId="1" fillId="33" borderId="0" xfId="66" applyNumberFormat="1" applyFont="1" applyFill="1" applyAlignment="1">
      <alignment horizontal="right"/>
    </xf>
    <xf numFmtId="180" fontId="1" fillId="33" borderId="10" xfId="65" applyNumberFormat="1" applyFont="1" applyFill="1" applyBorder="1" applyAlignment="1">
      <alignment horizontal="right"/>
    </xf>
    <xf numFmtId="3" fontId="3" fillId="0" borderId="0" xfId="49" applyNumberFormat="1" applyFont="1" applyFill="1" applyAlignment="1">
      <alignment/>
      <protection/>
    </xf>
    <xf numFmtId="180" fontId="1" fillId="33" borderId="11" xfId="65" applyNumberFormat="1" applyFont="1" applyFill="1" applyBorder="1" applyAlignment="1">
      <alignment horizontal="right"/>
    </xf>
    <xf numFmtId="174" fontId="3" fillId="0" borderId="0" xfId="49" applyNumberFormat="1" applyFont="1" applyFill="1" applyAlignment="1">
      <alignment/>
      <protection/>
    </xf>
    <xf numFmtId="169" fontId="3" fillId="33" borderId="12" xfId="66" applyNumberFormat="1" applyFont="1" applyFill="1" applyBorder="1" applyAlignment="1">
      <alignment horizontal="right"/>
    </xf>
    <xf numFmtId="169" fontId="3" fillId="33" borderId="11" xfId="66" applyNumberFormat="1" applyFont="1" applyFill="1" applyBorder="1" applyAlignment="1">
      <alignment horizontal="right"/>
    </xf>
    <xf numFmtId="169" fontId="3" fillId="33" borderId="0" xfId="66" applyNumberFormat="1" applyFont="1" applyFill="1" applyAlignment="1">
      <alignment horizontal="right"/>
    </xf>
    <xf numFmtId="180" fontId="3" fillId="33" borderId="11" xfId="65" applyNumberFormat="1" applyFont="1" applyFill="1" applyBorder="1" applyAlignment="1">
      <alignment horizontal="right"/>
    </xf>
    <xf numFmtId="174" fontId="52" fillId="0" borderId="0" xfId="49" applyNumberFormat="1" applyFont="1" applyFill="1" applyAlignment="1">
      <alignment/>
      <protection/>
    </xf>
    <xf numFmtId="169" fontId="3" fillId="0" borderId="0" xfId="49" applyNumberFormat="1" applyFont="1" applyFill="1" applyAlignment="1">
      <alignment/>
      <protection/>
    </xf>
    <xf numFmtId="180" fontId="1" fillId="33" borderId="13" xfId="65" applyNumberFormat="1" applyFont="1" applyFill="1" applyBorder="1" applyAlignment="1">
      <alignment horizontal="right"/>
    </xf>
    <xf numFmtId="169" fontId="1" fillId="33" borderId="14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169" fontId="3" fillId="33" borderId="15" xfId="66" applyNumberFormat="1" applyFont="1" applyFill="1" applyBorder="1" applyAlignment="1">
      <alignment horizontal="right"/>
    </xf>
    <xf numFmtId="169" fontId="3" fillId="33" borderId="16" xfId="66" applyNumberFormat="1" applyFont="1" applyFill="1" applyBorder="1" applyAlignment="1">
      <alignment horizontal="right"/>
    </xf>
    <xf numFmtId="180" fontId="3" fillId="33" borderId="16" xfId="65" applyNumberFormat="1" applyFont="1" applyFill="1" applyBorder="1" applyAlignment="1">
      <alignment horizontal="right"/>
    </xf>
    <xf numFmtId="180" fontId="1" fillId="33" borderId="16" xfId="65" applyNumberFormat="1" applyFont="1" applyFill="1" applyBorder="1" applyAlignment="1">
      <alignment horizontal="right"/>
    </xf>
    <xf numFmtId="169" fontId="52" fillId="0" borderId="0" xfId="49" applyNumberFormat="1" applyFont="1" applyFill="1" applyAlignment="1">
      <alignment/>
      <protection/>
    </xf>
    <xf numFmtId="169" fontId="52" fillId="33" borderId="0" xfId="49" applyNumberFormat="1" applyFont="1" applyFill="1" applyAlignment="1">
      <alignment wrapText="1"/>
      <protection/>
    </xf>
    <xf numFmtId="0" fontId="2" fillId="33" borderId="0" xfId="49" applyFont="1" applyFill="1" applyBorder="1">
      <alignment/>
      <protection/>
    </xf>
    <xf numFmtId="37" fontId="2" fillId="33" borderId="0" xfId="49" applyNumberFormat="1" applyFont="1" applyFill="1" applyBorder="1" applyAlignment="1">
      <alignment horizontal="center"/>
      <protection/>
    </xf>
    <xf numFmtId="0" fontId="2" fillId="33" borderId="0" xfId="49" applyNumberFormat="1" applyFont="1" applyFill="1" applyBorder="1" applyAlignment="1">
      <alignment horizontal="center"/>
      <protection/>
    </xf>
    <xf numFmtId="0" fontId="2" fillId="33" borderId="0" xfId="49" applyFont="1" applyFill="1" applyBorder="1" applyAlignment="1">
      <alignment horizontal="center"/>
      <protection/>
    </xf>
    <xf numFmtId="37" fontId="2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center" vertical="center"/>
      <protection/>
    </xf>
    <xf numFmtId="0" fontId="1" fillId="33" borderId="0" xfId="49" applyNumberFormat="1" applyFont="1" applyFill="1" applyBorder="1" applyAlignment="1">
      <alignment wrapText="1"/>
      <protection/>
    </xf>
    <xf numFmtId="0" fontId="1" fillId="33" borderId="0" xfId="49" applyNumberFormat="1" applyFont="1" applyFill="1" applyBorder="1" applyAlignment="1">
      <alignment/>
      <protection/>
    </xf>
    <xf numFmtId="0" fontId="3" fillId="33" borderId="0" xfId="49" applyNumberFormat="1" applyFont="1" applyFill="1" applyBorder="1" applyAlignment="1">
      <alignment/>
      <protection/>
    </xf>
    <xf numFmtId="169" fontId="3" fillId="33" borderId="17" xfId="66" applyNumberFormat="1" applyFont="1" applyFill="1" applyBorder="1" applyAlignment="1">
      <alignment horizontal="right"/>
    </xf>
    <xf numFmtId="4" fontId="1" fillId="0" borderId="0" xfId="49" applyNumberFormat="1" applyFont="1" applyFill="1" applyAlignment="1">
      <alignment/>
      <protection/>
    </xf>
    <xf numFmtId="4" fontId="3" fillId="0" borderId="0" xfId="49" applyNumberFormat="1" applyFont="1" applyFill="1" applyAlignment="1">
      <alignment/>
      <protection/>
    </xf>
    <xf numFmtId="43" fontId="3" fillId="0" borderId="0" xfId="49" applyNumberFormat="1" applyFont="1" applyFill="1" applyAlignment="1">
      <alignment/>
      <protection/>
    </xf>
    <xf numFmtId="49" fontId="3" fillId="33" borderId="12" xfId="49" applyNumberFormat="1" applyFont="1" applyFill="1" applyBorder="1" applyAlignment="1">
      <alignment/>
      <protection/>
    </xf>
    <xf numFmtId="0" fontId="1" fillId="33" borderId="18" xfId="49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0" fontId="1" fillId="33" borderId="19" xfId="49" applyNumberFormat="1" applyFont="1" applyFill="1" applyBorder="1" applyAlignment="1">
      <alignment wrapText="1"/>
      <protection/>
    </xf>
    <xf numFmtId="169" fontId="3" fillId="33" borderId="20" xfId="66" applyNumberFormat="1" applyFont="1" applyFill="1" applyBorder="1" applyAlignment="1">
      <alignment horizontal="right"/>
    </xf>
    <xf numFmtId="171" fontId="3" fillId="0" borderId="0" xfId="65" applyFont="1" applyFill="1" applyAlignment="1">
      <alignment/>
    </xf>
    <xf numFmtId="0" fontId="1" fillId="33" borderId="15" xfId="49" applyNumberFormat="1" applyFont="1" applyFill="1" applyBorder="1" applyAlignment="1">
      <alignment/>
      <protection/>
    </xf>
    <xf numFmtId="0" fontId="6" fillId="33" borderId="0" xfId="49" applyFont="1" applyFill="1" applyBorder="1">
      <alignment/>
      <protection/>
    </xf>
    <xf numFmtId="37" fontId="6" fillId="33" borderId="0" xfId="49" applyNumberFormat="1" applyFont="1" applyFill="1" applyBorder="1" applyAlignment="1">
      <alignment horizontal="center"/>
      <protection/>
    </xf>
    <xf numFmtId="169" fontId="6" fillId="33" borderId="0" xfId="49" applyNumberFormat="1" applyFont="1" applyFill="1" applyBorder="1" applyAlignment="1">
      <alignment horizontal="center"/>
      <protection/>
    </xf>
    <xf numFmtId="37" fontId="6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right" vertical="center"/>
      <protection/>
    </xf>
    <xf numFmtId="49" fontId="4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 horizontal="center"/>
      <protection/>
    </xf>
    <xf numFmtId="0" fontId="3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/>
      <protection/>
    </xf>
    <xf numFmtId="0" fontId="3" fillId="33" borderId="0" xfId="49" applyFont="1" applyFill="1" applyBorder="1" applyAlignment="1">
      <alignment/>
      <protection/>
    </xf>
    <xf numFmtId="167" fontId="3" fillId="33" borderId="0" xfId="49" applyNumberFormat="1" applyFont="1" applyFill="1" applyAlignment="1">
      <alignment horizontal="right"/>
      <protection/>
    </xf>
    <xf numFmtId="0" fontId="3" fillId="33" borderId="0" xfId="49" applyNumberFormat="1" applyFont="1" applyFill="1" applyAlignment="1">
      <alignment/>
      <protection/>
    </xf>
    <xf numFmtId="169" fontId="1" fillId="0" borderId="0" xfId="66" applyNumberFormat="1" applyFont="1" applyFill="1" applyBorder="1" applyAlignment="1">
      <alignment horizontal="right"/>
    </xf>
    <xf numFmtId="49" fontId="3" fillId="0" borderId="0" xfId="66" applyNumberFormat="1" applyFont="1" applyFill="1" applyBorder="1" applyAlignment="1">
      <alignment horizontal="right"/>
    </xf>
    <xf numFmtId="0" fontId="3" fillId="0" borderId="0" xfId="49" applyFont="1" applyFill="1" applyBorder="1" applyAlignment="1">
      <alignment horizontal="left" vertical="center"/>
      <protection/>
    </xf>
    <xf numFmtId="169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right" vertical="center"/>
    </xf>
    <xf numFmtId="4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left" vertical="center"/>
    </xf>
    <xf numFmtId="0" fontId="6" fillId="0" borderId="0" xfId="49" applyFont="1" applyFill="1" applyBorder="1" applyAlignment="1">
      <alignment horizontal="left" vertical="center"/>
      <protection/>
    </xf>
    <xf numFmtId="0" fontId="53" fillId="0" borderId="0" xfId="49" applyFont="1" applyFill="1" applyBorder="1" applyAlignment="1">
      <alignment horizontal="left" vertical="center"/>
      <protection/>
    </xf>
    <xf numFmtId="0" fontId="6" fillId="0" borderId="0" xfId="49" applyNumberFormat="1" applyFont="1" applyFill="1" applyAlignment="1">
      <alignment/>
      <protection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0" xfId="49" applyNumberFormat="1" applyFont="1" applyFill="1" applyBorder="1" applyAlignment="1">
      <alignment horizontal="center"/>
      <protection/>
    </xf>
    <xf numFmtId="49" fontId="1" fillId="34" borderId="16" xfId="49" applyNumberFormat="1" applyFont="1" applyFill="1" applyBorder="1" applyAlignment="1">
      <alignment horizontal="center"/>
      <protection/>
    </xf>
    <xf numFmtId="171" fontId="3" fillId="33" borderId="0" xfId="65" applyFont="1" applyFill="1" applyAlignment="1">
      <alignment horizontal="center"/>
    </xf>
    <xf numFmtId="171" fontId="6" fillId="33" borderId="0" xfId="65" applyFont="1" applyFill="1" applyBorder="1" applyAlignment="1">
      <alignment horizontal="center"/>
    </xf>
    <xf numFmtId="0" fontId="1" fillId="34" borderId="10" xfId="49" applyNumberFormat="1" applyFont="1" applyFill="1" applyBorder="1" applyAlignment="1">
      <alignment horizontal="center"/>
      <protection/>
    </xf>
    <xf numFmtId="0" fontId="1" fillId="34" borderId="21" xfId="49" applyNumberFormat="1" applyFont="1" applyFill="1" applyBorder="1" applyAlignment="1">
      <alignment horizontal="center"/>
      <protection/>
    </xf>
    <xf numFmtId="0" fontId="1" fillId="34" borderId="19" xfId="49" applyNumberFormat="1" applyFont="1" applyFill="1" applyBorder="1" applyAlignment="1">
      <alignment horizontal="center" vertical="center"/>
      <protection/>
    </xf>
    <xf numFmtId="0" fontId="1" fillId="34" borderId="11" xfId="49" applyNumberFormat="1" applyFont="1" applyFill="1" applyBorder="1" applyAlignment="1">
      <alignment horizontal="center"/>
      <protection/>
    </xf>
    <xf numFmtId="0" fontId="1" fillId="34" borderId="17" xfId="49" applyNumberFormat="1" applyFont="1" applyFill="1" applyBorder="1" applyAlignment="1">
      <alignment horizontal="center" wrapText="1"/>
      <protection/>
    </xf>
    <xf numFmtId="0" fontId="1" fillId="34" borderId="17" xfId="49" applyNumberFormat="1" applyFont="1" applyFill="1" applyBorder="1" applyAlignment="1">
      <alignment horizontal="center"/>
      <protection/>
    </xf>
    <xf numFmtId="0" fontId="3" fillId="34" borderId="12" xfId="49" applyNumberFormat="1" applyFont="1" applyFill="1" applyBorder="1" applyAlignment="1">
      <alignment horizontal="center" vertical="center"/>
      <protection/>
    </xf>
    <xf numFmtId="0" fontId="1" fillId="34" borderId="16" xfId="49" applyNumberFormat="1" applyFont="1" applyFill="1" applyBorder="1" applyAlignment="1">
      <alignment horizontal="center"/>
      <protection/>
    </xf>
    <xf numFmtId="0" fontId="1" fillId="34" borderId="20" xfId="49" applyNumberFormat="1" applyFont="1" applyFill="1" applyBorder="1" applyAlignment="1">
      <alignment horizontal="center"/>
      <protection/>
    </xf>
    <xf numFmtId="0" fontId="1" fillId="34" borderId="22" xfId="49" applyNumberFormat="1" applyFont="1" applyFill="1" applyBorder="1" applyAlignment="1">
      <alignment horizontal="center" vertical="center"/>
      <protection/>
    </xf>
    <xf numFmtId="0" fontId="6" fillId="0" borderId="0" xfId="49" applyNumberFormat="1" applyFont="1" applyFill="1" applyBorder="1" applyAlignment="1">
      <alignment/>
      <protection/>
    </xf>
    <xf numFmtId="178" fontId="6" fillId="0" borderId="0" xfId="49" applyNumberFormat="1" applyFont="1" applyFill="1" applyBorder="1" applyAlignment="1">
      <alignment horizontal="left" vertical="center"/>
      <protection/>
    </xf>
    <xf numFmtId="169" fontId="6" fillId="0" borderId="0" xfId="49" applyNumberFormat="1" applyFont="1" applyFill="1" applyBorder="1" applyAlignment="1">
      <alignment horizontal="left" vertical="center"/>
      <protection/>
    </xf>
    <xf numFmtId="0" fontId="3" fillId="33" borderId="0" xfId="49" applyNumberFormat="1" applyFont="1" applyFill="1" applyBorder="1" applyAlignment="1">
      <alignment horizontal="left" indent="2"/>
      <protection/>
    </xf>
    <xf numFmtId="169" fontId="6" fillId="0" borderId="0" xfId="49" applyNumberFormat="1" applyFont="1" applyFill="1" applyAlignment="1">
      <alignment/>
      <protection/>
    </xf>
    <xf numFmtId="169" fontId="2" fillId="0" borderId="0" xfId="49" applyNumberFormat="1" applyFont="1" applyFill="1" applyAlignment="1">
      <alignment/>
      <protection/>
    </xf>
    <xf numFmtId="0" fontId="3" fillId="33" borderId="0" xfId="49" applyNumberFormat="1" applyFont="1" applyFill="1" applyAlignment="1">
      <alignment horizontal="right"/>
      <protection/>
    </xf>
    <xf numFmtId="180" fontId="3" fillId="33" borderId="11" xfId="66" applyNumberFormat="1" applyFont="1" applyFill="1" applyBorder="1" applyAlignment="1">
      <alignment horizontal="right"/>
    </xf>
    <xf numFmtId="180" fontId="1" fillId="33" borderId="19" xfId="66" applyNumberFormat="1" applyFont="1" applyFill="1" applyBorder="1" applyAlignment="1">
      <alignment horizontal="right"/>
    </xf>
    <xf numFmtId="180" fontId="1" fillId="33" borderId="10" xfId="66" applyNumberFormat="1" applyFont="1" applyFill="1" applyBorder="1" applyAlignment="1">
      <alignment horizontal="right"/>
    </xf>
    <xf numFmtId="180" fontId="1" fillId="33" borderId="0" xfId="66" applyNumberFormat="1" applyFont="1" applyFill="1" applyAlignment="1">
      <alignment horizontal="right"/>
    </xf>
    <xf numFmtId="180" fontId="1" fillId="33" borderId="12" xfId="66" applyNumberFormat="1" applyFont="1" applyFill="1" applyBorder="1" applyAlignment="1">
      <alignment horizontal="right"/>
    </xf>
    <xf numFmtId="180" fontId="1" fillId="33" borderId="11" xfId="66" applyNumberFormat="1" applyFont="1" applyFill="1" applyBorder="1" applyAlignment="1">
      <alignment horizontal="right"/>
    </xf>
    <xf numFmtId="180" fontId="3" fillId="33" borderId="12" xfId="66" applyNumberFormat="1" applyFont="1" applyFill="1" applyBorder="1" applyAlignment="1">
      <alignment horizontal="right"/>
    </xf>
    <xf numFmtId="180" fontId="3" fillId="33" borderId="0" xfId="66" applyNumberFormat="1" applyFont="1" applyFill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80" fontId="1" fillId="33" borderId="13" xfId="66" applyNumberFormat="1" applyFont="1" applyFill="1" applyBorder="1" applyAlignment="1">
      <alignment horizontal="right"/>
    </xf>
    <xf numFmtId="180" fontId="3" fillId="0" borderId="0" xfId="66" applyNumberFormat="1" applyFont="1" applyFill="1" applyAlignment="1">
      <alignment horizontal="right"/>
    </xf>
    <xf numFmtId="180" fontId="1" fillId="33" borderId="0" xfId="66" applyNumberFormat="1" applyFont="1" applyFill="1" applyBorder="1" applyAlignment="1">
      <alignment horizontal="right"/>
    </xf>
    <xf numFmtId="180" fontId="3" fillId="33" borderId="13" xfId="66" applyNumberFormat="1" applyFont="1" applyFill="1" applyBorder="1" applyAlignment="1">
      <alignment horizontal="right"/>
    </xf>
    <xf numFmtId="180" fontId="3" fillId="33" borderId="13" xfId="65" applyNumberFormat="1" applyFont="1" applyFill="1" applyBorder="1" applyAlignment="1">
      <alignment/>
    </xf>
    <xf numFmtId="180" fontId="1" fillId="33" borderId="17" xfId="66" applyNumberFormat="1" applyFont="1" applyFill="1" applyBorder="1" applyAlignment="1">
      <alignment horizontal="right"/>
    </xf>
    <xf numFmtId="180" fontId="1" fillId="33" borderId="24" xfId="66" applyNumberFormat="1" applyFont="1" applyFill="1" applyBorder="1" applyAlignment="1">
      <alignment horizontal="right"/>
    </xf>
    <xf numFmtId="180" fontId="1" fillId="33" borderId="21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3" fillId="33" borderId="20" xfId="66" applyNumberFormat="1" applyFont="1" applyFill="1" applyBorder="1" applyAlignment="1">
      <alignment horizontal="right"/>
    </xf>
    <xf numFmtId="180" fontId="1" fillId="33" borderId="16" xfId="66" applyNumberFormat="1" applyFont="1" applyFill="1" applyBorder="1" applyAlignment="1">
      <alignment horizontal="right"/>
    </xf>
    <xf numFmtId="180" fontId="1" fillId="33" borderId="20" xfId="66" applyNumberFormat="1" applyFont="1" applyFill="1" applyBorder="1" applyAlignment="1">
      <alignment horizontal="right"/>
    </xf>
    <xf numFmtId="180" fontId="3" fillId="33" borderId="16" xfId="66" applyNumberFormat="1" applyFont="1" applyFill="1" applyBorder="1" applyAlignment="1">
      <alignment horizontal="right"/>
    </xf>
    <xf numFmtId="180" fontId="1" fillId="33" borderId="22" xfId="66" applyNumberFormat="1" applyFont="1" applyFill="1" applyBorder="1" applyAlignment="1">
      <alignment horizontal="right"/>
    </xf>
    <xf numFmtId="180" fontId="3" fillId="33" borderId="16" xfId="49" applyNumberFormat="1" applyFont="1" applyFill="1" applyBorder="1" applyAlignment="1">
      <alignment/>
      <protection/>
    </xf>
    <xf numFmtId="180" fontId="3" fillId="33" borderId="22" xfId="66" applyNumberFormat="1" applyFont="1" applyFill="1" applyBorder="1" applyAlignment="1">
      <alignment horizontal="right"/>
    </xf>
    <xf numFmtId="180" fontId="3" fillId="33" borderId="15" xfId="66" applyNumberFormat="1" applyFont="1" applyFill="1" applyBorder="1" applyAlignment="1">
      <alignment horizontal="right"/>
    </xf>
    <xf numFmtId="171" fontId="1" fillId="33" borderId="21" xfId="65" applyFont="1" applyFill="1" applyBorder="1" applyAlignment="1">
      <alignment horizontal="right"/>
    </xf>
    <xf numFmtId="171" fontId="3" fillId="33" borderId="11" xfId="65" applyFont="1" applyFill="1" applyBorder="1" applyAlignment="1">
      <alignment horizontal="right"/>
    </xf>
    <xf numFmtId="180" fontId="1" fillId="0" borderId="24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3" fillId="33" borderId="0" xfId="49" applyNumberFormat="1" applyFont="1" applyFill="1" applyAlignment="1">
      <alignment/>
      <protection/>
    </xf>
    <xf numFmtId="0" fontId="6" fillId="0" borderId="0" xfId="49" applyFont="1" applyFill="1" applyBorder="1" applyAlignment="1">
      <alignment horizontal="left" vertical="center" wrapText="1"/>
      <protection/>
    </xf>
    <xf numFmtId="180" fontId="1" fillId="33" borderId="17" xfId="66" applyNumberFormat="1" applyFont="1" applyFill="1" applyBorder="1" applyAlignment="1">
      <alignment horizontal="right"/>
    </xf>
    <xf numFmtId="171" fontId="1" fillId="33" borderId="24" xfId="65" applyFont="1" applyFill="1" applyBorder="1" applyAlignment="1">
      <alignment horizontal="right"/>
    </xf>
    <xf numFmtId="171" fontId="2" fillId="35" borderId="13" xfId="65" applyFont="1" applyFill="1" applyBorder="1" applyAlignment="1">
      <alignment/>
    </xf>
    <xf numFmtId="171" fontId="2" fillId="35" borderId="24" xfId="65" applyFont="1" applyFill="1" applyBorder="1" applyAlignment="1">
      <alignment/>
    </xf>
    <xf numFmtId="171" fontId="2" fillId="35" borderId="11" xfId="65" applyFont="1" applyFill="1" applyBorder="1" applyAlignment="1">
      <alignment/>
    </xf>
    <xf numFmtId="171" fontId="1" fillId="33" borderId="23" xfId="65" applyFont="1" applyFill="1" applyBorder="1" applyAlignment="1">
      <alignment horizontal="right"/>
    </xf>
    <xf numFmtId="171" fontId="1" fillId="33" borderId="16" xfId="65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0" fontId="1" fillId="33" borderId="22" xfId="49" applyNumberFormat="1" applyFont="1" applyFill="1" applyBorder="1" applyAlignment="1">
      <alignment/>
      <protection/>
    </xf>
    <xf numFmtId="180" fontId="1" fillId="33" borderId="13" xfId="65" applyNumberFormat="1" applyFont="1" applyFill="1" applyBorder="1" applyAlignment="1">
      <alignment/>
    </xf>
    <xf numFmtId="180" fontId="3" fillId="0" borderId="12" xfId="66" applyNumberFormat="1" applyFont="1" applyFill="1" applyBorder="1" applyAlignment="1">
      <alignment horizontal="right"/>
    </xf>
    <xf numFmtId="180" fontId="3" fillId="0" borderId="11" xfId="66" applyNumberFormat="1" applyFont="1" applyFill="1" applyBorder="1" applyAlignment="1">
      <alignment horizontal="right"/>
    </xf>
    <xf numFmtId="180" fontId="3" fillId="0" borderId="11" xfId="65" applyNumberFormat="1" applyFont="1" applyFill="1" applyBorder="1" applyAlignment="1">
      <alignment horizontal="right"/>
    </xf>
    <xf numFmtId="180" fontId="3" fillId="0" borderId="12" xfId="65" applyNumberFormat="1" applyFont="1" applyFill="1" applyBorder="1" applyAlignment="1">
      <alignment horizontal="right"/>
    </xf>
    <xf numFmtId="180" fontId="1" fillId="0" borderId="12" xfId="66" applyNumberFormat="1" applyFont="1" applyFill="1" applyBorder="1" applyAlignment="1">
      <alignment horizontal="right"/>
    </xf>
    <xf numFmtId="180" fontId="1" fillId="0" borderId="11" xfId="66" applyNumberFormat="1" applyFont="1" applyFill="1" applyBorder="1" applyAlignment="1">
      <alignment horizontal="right"/>
    </xf>
    <xf numFmtId="180" fontId="1" fillId="0" borderId="0" xfId="66" applyNumberFormat="1" applyFont="1" applyFill="1" applyAlignment="1">
      <alignment horizontal="right"/>
    </xf>
    <xf numFmtId="180" fontId="1" fillId="0" borderId="11" xfId="65" applyNumberFormat="1" applyFont="1" applyFill="1" applyBorder="1" applyAlignment="1">
      <alignment horizontal="right"/>
    </xf>
    <xf numFmtId="171" fontId="1" fillId="0" borderId="20" xfId="65" applyFont="1" applyFill="1" applyBorder="1" applyAlignment="1">
      <alignment horizontal="right"/>
    </xf>
    <xf numFmtId="180" fontId="1" fillId="33" borderId="17" xfId="66" applyNumberFormat="1" applyFont="1" applyFill="1" applyBorder="1" applyAlignment="1">
      <alignment horizontal="right"/>
    </xf>
    <xf numFmtId="43" fontId="2" fillId="0" borderId="0" xfId="49" applyNumberFormat="1" applyFont="1" applyFill="1" applyAlignment="1">
      <alignment/>
      <protection/>
    </xf>
    <xf numFmtId="43" fontId="4" fillId="33" borderId="0" xfId="49" applyNumberFormat="1" applyFont="1" applyFill="1" applyAlignment="1">
      <alignment horizontal="center"/>
      <protection/>
    </xf>
    <xf numFmtId="0" fontId="10" fillId="0" borderId="0" xfId="49" applyNumberFormat="1" applyFont="1" applyFill="1" applyAlignment="1">
      <alignment vertical="center" wrapText="1"/>
      <protection/>
    </xf>
    <xf numFmtId="180" fontId="3" fillId="33" borderId="17" xfId="66" applyNumberFormat="1" applyFont="1" applyFill="1" applyBorder="1" applyAlignment="1">
      <alignment horizontal="center"/>
    </xf>
    <xf numFmtId="180" fontId="3" fillId="33" borderId="12" xfId="66" applyNumberFormat="1" applyFont="1" applyFill="1" applyBorder="1" applyAlignment="1">
      <alignment horizontal="center"/>
    </xf>
    <xf numFmtId="180" fontId="3" fillId="33" borderId="17" xfId="66" applyNumberFormat="1" applyFont="1" applyFill="1" applyBorder="1" applyAlignment="1">
      <alignment horizontal="right"/>
    </xf>
    <xf numFmtId="180" fontId="3" fillId="33" borderId="0" xfId="66" applyNumberFormat="1" applyFont="1" applyFill="1" applyBorder="1" applyAlignment="1">
      <alignment horizontal="right"/>
    </xf>
    <xf numFmtId="180" fontId="3" fillId="33" borderId="0" xfId="66" applyNumberFormat="1" applyFont="1" applyFill="1" applyBorder="1" applyAlignment="1">
      <alignment horizontal="center"/>
    </xf>
    <xf numFmtId="49" fontId="3" fillId="0" borderId="12" xfId="49" applyNumberFormat="1" applyFont="1" applyFill="1" applyBorder="1" applyAlignment="1">
      <alignment horizontal="left"/>
      <protection/>
    </xf>
    <xf numFmtId="180" fontId="3" fillId="0" borderId="17" xfId="66" applyNumberFormat="1" applyFont="1" applyFill="1" applyBorder="1" applyAlignment="1">
      <alignment horizontal="center"/>
    </xf>
    <xf numFmtId="180" fontId="3" fillId="0" borderId="0" xfId="66" applyNumberFormat="1" applyFont="1" applyFill="1" applyBorder="1" applyAlignment="1">
      <alignment horizontal="center"/>
    </xf>
    <xf numFmtId="180" fontId="3" fillId="0" borderId="17" xfId="65" applyNumberFormat="1" applyFont="1" applyFill="1" applyBorder="1" applyAlignment="1">
      <alignment horizontal="center"/>
    </xf>
    <xf numFmtId="180" fontId="3" fillId="0" borderId="12" xfId="65" applyNumberFormat="1" applyFont="1" applyFill="1" applyBorder="1" applyAlignment="1">
      <alignment horizontal="center"/>
    </xf>
    <xf numFmtId="171" fontId="3" fillId="0" borderId="17" xfId="65" applyNumberFormat="1" applyFont="1" applyFill="1" applyBorder="1" applyAlignment="1">
      <alignment horizontal="center"/>
    </xf>
    <xf numFmtId="171" fontId="3" fillId="0" borderId="12" xfId="65" applyNumberFormat="1" applyFont="1" applyFill="1" applyBorder="1" applyAlignment="1">
      <alignment horizontal="center"/>
    </xf>
    <xf numFmtId="180" fontId="3" fillId="0" borderId="17" xfId="66" applyNumberFormat="1" applyFont="1" applyFill="1" applyBorder="1" applyAlignment="1">
      <alignment horizontal="right"/>
    </xf>
    <xf numFmtId="180" fontId="3" fillId="0" borderId="0" xfId="66" applyNumberFormat="1" applyFont="1" applyFill="1" applyBorder="1" applyAlignment="1">
      <alignment horizontal="right"/>
    </xf>
    <xf numFmtId="37" fontId="6" fillId="33" borderId="18" xfId="49" applyNumberFormat="1" applyFont="1" applyFill="1" applyBorder="1" applyAlignment="1">
      <alignment horizontal="center" vertical="center"/>
      <protection/>
    </xf>
    <xf numFmtId="0" fontId="1" fillId="34" borderId="21" xfId="49" applyNumberFormat="1" applyFont="1" applyFill="1" applyBorder="1" applyAlignment="1">
      <alignment horizontal="center" vertical="center" wrapText="1"/>
      <protection/>
    </xf>
    <xf numFmtId="0" fontId="1" fillId="34" borderId="14" xfId="49" applyNumberFormat="1" applyFont="1" applyFill="1" applyBorder="1" applyAlignment="1">
      <alignment horizontal="center" vertical="center" wrapText="1"/>
      <protection/>
    </xf>
    <xf numFmtId="0" fontId="1" fillId="34" borderId="17" xfId="49" applyNumberFormat="1" applyFont="1" applyFill="1" applyBorder="1" applyAlignment="1">
      <alignment horizontal="center" vertical="center" wrapText="1"/>
      <protection/>
    </xf>
    <xf numFmtId="0" fontId="1" fillId="34" borderId="0" xfId="49" applyNumberFormat="1" applyFont="1" applyFill="1" applyBorder="1" applyAlignment="1">
      <alignment horizontal="center" vertical="center" wrapText="1"/>
      <protection/>
    </xf>
    <xf numFmtId="0" fontId="1" fillId="34" borderId="21" xfId="49" applyNumberFormat="1" applyFont="1" applyFill="1" applyBorder="1" applyAlignment="1">
      <alignment horizontal="center"/>
      <protection/>
    </xf>
    <xf numFmtId="0" fontId="1" fillId="34" borderId="19" xfId="49" applyNumberFormat="1" applyFont="1" applyFill="1" applyBorder="1" applyAlignment="1">
      <alignment horizontal="center"/>
      <protection/>
    </xf>
    <xf numFmtId="0" fontId="1" fillId="34" borderId="17" xfId="49" applyNumberFormat="1" applyFont="1" applyFill="1" applyBorder="1" applyAlignment="1">
      <alignment horizontal="center"/>
      <protection/>
    </xf>
    <xf numFmtId="0" fontId="1" fillId="34" borderId="12" xfId="49" applyNumberFormat="1" applyFont="1" applyFill="1" applyBorder="1" applyAlignment="1">
      <alignment horizontal="center"/>
      <protection/>
    </xf>
    <xf numFmtId="180" fontId="3" fillId="33" borderId="20" xfId="66" applyNumberFormat="1" applyFont="1" applyFill="1" applyBorder="1" applyAlignment="1">
      <alignment horizontal="right"/>
    </xf>
    <xf numFmtId="180" fontId="3" fillId="33" borderId="15" xfId="66" applyNumberFormat="1" applyFont="1" applyFill="1" applyBorder="1" applyAlignment="1">
      <alignment horizontal="right"/>
    </xf>
    <xf numFmtId="171" fontId="3" fillId="33" borderId="17" xfId="65" applyNumberFormat="1" applyFont="1" applyFill="1" applyBorder="1" applyAlignment="1">
      <alignment horizontal="center"/>
    </xf>
    <xf numFmtId="171" fontId="3" fillId="33" borderId="12" xfId="65" applyNumberFormat="1" applyFont="1" applyFill="1" applyBorder="1" applyAlignment="1">
      <alignment horizontal="center"/>
    </xf>
    <xf numFmtId="49" fontId="3" fillId="33" borderId="22" xfId="49" applyNumberFormat="1" applyFont="1" applyFill="1" applyBorder="1" applyAlignment="1">
      <alignment horizontal="left"/>
      <protection/>
    </xf>
    <xf numFmtId="49" fontId="3" fillId="33" borderId="12" xfId="49" applyNumberFormat="1" applyFont="1" applyFill="1" applyBorder="1" applyAlignment="1">
      <alignment horizontal="left"/>
      <protection/>
    </xf>
    <xf numFmtId="171" fontId="3" fillId="0" borderId="17" xfId="66" applyNumberFormat="1" applyFont="1" applyFill="1" applyBorder="1" applyAlignment="1">
      <alignment horizontal="center"/>
    </xf>
    <xf numFmtId="171" fontId="3" fillId="0" borderId="12" xfId="66" applyNumberFormat="1" applyFont="1" applyFill="1" applyBorder="1" applyAlignment="1">
      <alignment horizontal="center"/>
    </xf>
    <xf numFmtId="171" fontId="1" fillId="0" borderId="17" xfId="65" applyNumberFormat="1" applyFont="1" applyFill="1" applyBorder="1" applyAlignment="1">
      <alignment horizontal="center"/>
    </xf>
    <xf numFmtId="171" fontId="1" fillId="0" borderId="12" xfId="65" applyNumberFormat="1" applyFont="1" applyFill="1" applyBorder="1" applyAlignment="1">
      <alignment horizontal="center"/>
    </xf>
    <xf numFmtId="0" fontId="1" fillId="34" borderId="19" xfId="49" applyNumberFormat="1" applyFont="1" applyFill="1" applyBorder="1" applyAlignment="1">
      <alignment horizontal="center" vertical="center"/>
      <protection/>
    </xf>
    <xf numFmtId="0" fontId="1" fillId="34" borderId="12" xfId="49" applyNumberFormat="1" applyFont="1" applyFill="1" applyBorder="1" applyAlignment="1">
      <alignment horizontal="center" vertical="center"/>
      <protection/>
    </xf>
    <xf numFmtId="0" fontId="1" fillId="34" borderId="22" xfId="49" applyNumberFormat="1" applyFont="1" applyFill="1" applyBorder="1" applyAlignment="1">
      <alignment horizontal="center" vertical="center"/>
      <protection/>
    </xf>
    <xf numFmtId="49" fontId="1" fillId="0" borderId="12" xfId="49" applyNumberFormat="1" applyFont="1" applyFill="1" applyBorder="1" applyAlignment="1">
      <alignment horizontal="left"/>
      <protection/>
    </xf>
    <xf numFmtId="0" fontId="1" fillId="34" borderId="24" xfId="49" applyNumberFormat="1" applyFont="1" applyFill="1" applyBorder="1" applyAlignment="1">
      <alignment horizontal="center"/>
      <protection/>
    </xf>
    <xf numFmtId="0" fontId="1" fillId="34" borderId="18" xfId="49" applyNumberFormat="1" applyFont="1" applyFill="1" applyBorder="1" applyAlignment="1">
      <alignment horizontal="center"/>
      <protection/>
    </xf>
    <xf numFmtId="0" fontId="1" fillId="34" borderId="23" xfId="49" applyNumberFormat="1" applyFont="1" applyFill="1" applyBorder="1" applyAlignment="1">
      <alignment horizontal="center"/>
      <protection/>
    </xf>
    <xf numFmtId="49" fontId="3" fillId="33" borderId="0" xfId="49" applyNumberFormat="1" applyFont="1" applyFill="1" applyBorder="1" applyAlignment="1">
      <alignment horizontal="left"/>
      <protection/>
    </xf>
    <xf numFmtId="171" fontId="3" fillId="33" borderId="20" xfId="65" applyNumberFormat="1" applyFont="1" applyFill="1" applyBorder="1" applyAlignment="1">
      <alignment horizontal="center"/>
    </xf>
    <xf numFmtId="171" fontId="3" fillId="33" borderId="22" xfId="65" applyNumberFormat="1" applyFont="1" applyFill="1" applyBorder="1" applyAlignment="1">
      <alignment horizontal="center"/>
    </xf>
    <xf numFmtId="180" fontId="1" fillId="33" borderId="20" xfId="66" applyNumberFormat="1" applyFont="1" applyFill="1" applyBorder="1" applyAlignment="1">
      <alignment horizontal="center"/>
    </xf>
    <xf numFmtId="180" fontId="1" fillId="33" borderId="22" xfId="66" applyNumberFormat="1" applyFont="1" applyFill="1" applyBorder="1" applyAlignment="1">
      <alignment horizontal="center"/>
    </xf>
    <xf numFmtId="180" fontId="1" fillId="33" borderId="15" xfId="66" applyNumberFormat="1" applyFont="1" applyFill="1" applyBorder="1" applyAlignment="1">
      <alignment horizontal="center"/>
    </xf>
    <xf numFmtId="0" fontId="4" fillId="33" borderId="0" xfId="49" applyNumberFormat="1" applyFont="1" applyFill="1" applyAlignment="1">
      <alignment horizontal="center"/>
      <protection/>
    </xf>
    <xf numFmtId="49" fontId="4" fillId="33" borderId="0" xfId="49" applyNumberFormat="1" applyFont="1" applyFill="1" applyAlignment="1">
      <alignment horizontal="center"/>
      <protection/>
    </xf>
    <xf numFmtId="180" fontId="1" fillId="33" borderId="17" xfId="66" applyNumberFormat="1" applyFont="1" applyFill="1" applyBorder="1" applyAlignment="1">
      <alignment horizontal="center"/>
    </xf>
    <xf numFmtId="180" fontId="1" fillId="33" borderId="12" xfId="66" applyNumberFormat="1" applyFont="1" applyFill="1" applyBorder="1" applyAlignment="1">
      <alignment horizontal="center"/>
    </xf>
    <xf numFmtId="180" fontId="1" fillId="33" borderId="0" xfId="66" applyNumberFormat="1" applyFont="1" applyFill="1" applyBorder="1" applyAlignment="1">
      <alignment horizontal="center"/>
    </xf>
    <xf numFmtId="0" fontId="1" fillId="34" borderId="20" xfId="49" applyNumberFormat="1" applyFont="1" applyFill="1" applyBorder="1" applyAlignment="1">
      <alignment horizontal="center"/>
      <protection/>
    </xf>
    <xf numFmtId="0" fontId="1" fillId="34" borderId="22" xfId="49" applyNumberFormat="1" applyFont="1" applyFill="1" applyBorder="1" applyAlignment="1">
      <alignment horizontal="center"/>
      <protection/>
    </xf>
    <xf numFmtId="0" fontId="1" fillId="34" borderId="15" xfId="49" applyNumberFormat="1" applyFont="1" applyFill="1" applyBorder="1" applyAlignment="1">
      <alignment horizontal="center"/>
      <protection/>
    </xf>
    <xf numFmtId="180" fontId="1" fillId="0" borderId="17" xfId="66" applyNumberFormat="1" applyFont="1" applyFill="1" applyBorder="1" applyAlignment="1">
      <alignment horizontal="right"/>
    </xf>
    <xf numFmtId="180" fontId="1" fillId="0" borderId="0" xfId="66" applyNumberFormat="1" applyFont="1" applyFill="1" applyBorder="1" applyAlignment="1">
      <alignment horizontal="right"/>
    </xf>
    <xf numFmtId="49" fontId="3" fillId="33" borderId="12" xfId="49" applyNumberFormat="1" applyFont="1" applyFill="1" applyBorder="1" applyAlignment="1">
      <alignment horizontal="left" indent="4"/>
      <protection/>
    </xf>
    <xf numFmtId="171" fontId="3" fillId="33" borderId="17" xfId="65" applyNumberFormat="1" applyFont="1" applyFill="1" applyBorder="1" applyAlignment="1">
      <alignment horizontal="right"/>
    </xf>
    <xf numFmtId="171" fontId="3" fillId="33" borderId="12" xfId="65" applyNumberFormat="1" applyFont="1" applyFill="1" applyBorder="1" applyAlignment="1">
      <alignment horizontal="right"/>
    </xf>
    <xf numFmtId="180" fontId="3" fillId="33" borderId="17" xfId="65" applyNumberFormat="1" applyFont="1" applyFill="1" applyBorder="1" applyAlignment="1">
      <alignment horizontal="center"/>
    </xf>
    <xf numFmtId="180" fontId="3" fillId="33" borderId="12" xfId="65" applyNumberFormat="1" applyFont="1" applyFill="1" applyBorder="1" applyAlignment="1">
      <alignment horizontal="center"/>
    </xf>
    <xf numFmtId="49" fontId="1" fillId="33" borderId="12" xfId="49" applyNumberFormat="1" applyFont="1" applyFill="1" applyBorder="1" applyAlignment="1">
      <alignment horizontal="left"/>
      <protection/>
    </xf>
    <xf numFmtId="171" fontId="1" fillId="33" borderId="17" xfId="65" applyNumberFormat="1" applyFont="1" applyFill="1" applyBorder="1" applyAlignment="1">
      <alignment horizontal="right"/>
    </xf>
    <xf numFmtId="171" fontId="1" fillId="33" borderId="12" xfId="65" applyNumberFormat="1" applyFont="1" applyFill="1" applyBorder="1" applyAlignment="1">
      <alignment horizontal="right"/>
    </xf>
    <xf numFmtId="180" fontId="1" fillId="33" borderId="17" xfId="66" applyNumberFormat="1" applyFont="1" applyFill="1" applyBorder="1" applyAlignment="1">
      <alignment horizontal="right"/>
    </xf>
    <xf numFmtId="180" fontId="1" fillId="33" borderId="0" xfId="66" applyNumberFormat="1" applyFont="1" applyFill="1" applyBorder="1" applyAlignment="1">
      <alignment horizontal="right"/>
    </xf>
    <xf numFmtId="49" fontId="1" fillId="34" borderId="20" xfId="49" applyNumberFormat="1" applyFont="1" applyFill="1" applyBorder="1" applyAlignment="1">
      <alignment horizontal="center"/>
      <protection/>
    </xf>
    <xf numFmtId="49" fontId="1" fillId="34" borderId="22" xfId="49" applyNumberFormat="1" applyFont="1" applyFill="1" applyBorder="1" applyAlignment="1">
      <alignment horizontal="center"/>
      <protection/>
    </xf>
    <xf numFmtId="49" fontId="1" fillId="34" borderId="15" xfId="49" applyNumberFormat="1" applyFont="1" applyFill="1" applyBorder="1" applyAlignment="1">
      <alignment horizontal="center"/>
      <protection/>
    </xf>
    <xf numFmtId="0" fontId="1" fillId="33" borderId="0" xfId="49" applyFont="1" applyFill="1" applyBorder="1" applyAlignment="1">
      <alignment horizontal="left" wrapText="1"/>
      <protection/>
    </xf>
    <xf numFmtId="0" fontId="1" fillId="33" borderId="12" xfId="49" applyFont="1" applyFill="1" applyBorder="1" applyAlignment="1">
      <alignment horizontal="left" wrapText="1"/>
      <protection/>
    </xf>
    <xf numFmtId="171" fontId="1" fillId="33" borderId="21" xfId="65" applyNumberFormat="1" applyFont="1" applyFill="1" applyBorder="1" applyAlignment="1">
      <alignment horizontal="right"/>
    </xf>
    <xf numFmtId="171" fontId="1" fillId="33" borderId="19" xfId="65" applyNumberFormat="1" applyFont="1" applyFill="1" applyBorder="1" applyAlignment="1">
      <alignment horizontal="right"/>
    </xf>
    <xf numFmtId="180" fontId="1" fillId="33" borderId="21" xfId="66" applyNumberFormat="1" applyFont="1" applyFill="1" applyBorder="1" applyAlignment="1">
      <alignment horizontal="right"/>
    </xf>
    <xf numFmtId="180" fontId="1" fillId="33" borderId="14" xfId="66" applyNumberFormat="1" applyFont="1" applyFill="1" applyBorder="1" applyAlignment="1">
      <alignment horizontal="right"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6" xfId="49" applyNumberFormat="1" applyFont="1" applyFill="1" applyBorder="1" applyAlignment="1">
      <alignment horizontal="center" vertical="center" wrapText="1"/>
      <protection/>
    </xf>
    <xf numFmtId="0" fontId="1" fillId="34" borderId="24" xfId="49" applyFont="1" applyFill="1" applyBorder="1" applyAlignment="1">
      <alignment horizontal="center" vertical="center"/>
      <protection/>
    </xf>
    <xf numFmtId="0" fontId="1" fillId="34" borderId="18" xfId="49" applyFont="1" applyFill="1" applyBorder="1" applyAlignment="1">
      <alignment horizontal="center" vertical="center"/>
      <protection/>
    </xf>
    <xf numFmtId="0" fontId="1" fillId="34" borderId="23" xfId="49" applyFont="1" applyFill="1" applyBorder="1" applyAlignment="1">
      <alignment horizontal="center" vertical="center"/>
      <protection/>
    </xf>
    <xf numFmtId="49" fontId="1" fillId="34" borderId="21" xfId="49" applyNumberFormat="1" applyFont="1" applyFill="1" applyBorder="1" applyAlignment="1">
      <alignment horizontal="center"/>
      <protection/>
    </xf>
    <xf numFmtId="49" fontId="1" fillId="34" borderId="19" xfId="49" applyNumberFormat="1" applyFont="1" applyFill="1" applyBorder="1" applyAlignment="1">
      <alignment horizontal="center"/>
      <protection/>
    </xf>
    <xf numFmtId="49" fontId="1" fillId="34" borderId="17" xfId="49" applyNumberFormat="1" applyFont="1" applyFill="1" applyBorder="1" applyAlignment="1">
      <alignment horizontal="center"/>
      <protection/>
    </xf>
    <xf numFmtId="49" fontId="1" fillId="34" borderId="0" xfId="49" applyNumberFormat="1" applyFont="1" applyFill="1" applyBorder="1" applyAlignment="1">
      <alignment horizontal="center"/>
      <protection/>
    </xf>
    <xf numFmtId="0" fontId="1" fillId="34" borderId="14" xfId="49" applyFont="1" applyFill="1" applyBorder="1" applyAlignment="1">
      <alignment horizontal="center" vertical="center"/>
      <protection/>
    </xf>
    <xf numFmtId="0" fontId="1" fillId="34" borderId="19" xfId="49" applyFont="1" applyFill="1" applyBorder="1" applyAlignment="1">
      <alignment horizontal="center" vertical="center"/>
      <protection/>
    </xf>
    <xf numFmtId="0" fontId="1" fillId="34" borderId="0" xfId="49" applyFont="1" applyFill="1" applyBorder="1" applyAlignment="1">
      <alignment horizontal="center" vertical="center"/>
      <protection/>
    </xf>
    <xf numFmtId="0" fontId="1" fillId="34" borderId="12" xfId="49" applyFont="1" applyFill="1" applyBorder="1" applyAlignment="1">
      <alignment horizontal="center" vertical="center"/>
      <protection/>
    </xf>
    <xf numFmtId="0" fontId="1" fillId="34" borderId="15" xfId="49" applyFont="1" applyFill="1" applyBorder="1" applyAlignment="1">
      <alignment horizontal="center" vertical="center"/>
      <protection/>
    </xf>
    <xf numFmtId="0" fontId="1" fillId="34" borderId="22" xfId="49" applyFont="1" applyFill="1" applyBorder="1" applyAlignment="1">
      <alignment horizontal="center" vertical="center"/>
      <protection/>
    </xf>
    <xf numFmtId="171" fontId="1" fillId="33" borderId="17" xfId="65" applyFont="1" applyFill="1" applyBorder="1" applyAlignment="1">
      <alignment horizontal="center"/>
    </xf>
    <xf numFmtId="171" fontId="1" fillId="33" borderId="0" xfId="65" applyFont="1" applyFill="1" applyBorder="1" applyAlignment="1">
      <alignment horizontal="center"/>
    </xf>
    <xf numFmtId="171" fontId="2" fillId="35" borderId="24" xfId="65" applyFont="1" applyFill="1" applyBorder="1" applyAlignment="1">
      <alignment horizontal="center"/>
    </xf>
    <xf numFmtId="171" fontId="2" fillId="35" borderId="18" xfId="65" applyFont="1" applyFill="1" applyBorder="1" applyAlignment="1">
      <alignment horizontal="center"/>
    </xf>
    <xf numFmtId="171" fontId="2" fillId="35" borderId="13" xfId="65" applyFont="1" applyFill="1" applyBorder="1" applyAlignment="1">
      <alignment horizontal="center"/>
    </xf>
    <xf numFmtId="169" fontId="3" fillId="33" borderId="17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0" fontId="5" fillId="33" borderId="0" xfId="49" applyNumberFormat="1" applyFont="1" applyFill="1" applyAlignment="1">
      <alignment horizontal="center"/>
      <protection/>
    </xf>
    <xf numFmtId="171" fontId="3" fillId="33" borderId="0" xfId="65" applyFont="1" applyFill="1" applyBorder="1" applyAlignment="1">
      <alignment horizontal="right"/>
    </xf>
    <xf numFmtId="180" fontId="1" fillId="33" borderId="24" xfId="66" applyNumberFormat="1" applyFont="1" applyFill="1" applyBorder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71" fontId="1" fillId="33" borderId="24" xfId="65" applyFont="1" applyFill="1" applyBorder="1" applyAlignment="1">
      <alignment horizontal="right"/>
    </xf>
    <xf numFmtId="171" fontId="1" fillId="33" borderId="18" xfId="65" applyFont="1" applyFill="1" applyBorder="1" applyAlignment="1">
      <alignment horizontal="right"/>
    </xf>
    <xf numFmtId="49" fontId="1" fillId="34" borderId="14" xfId="49" applyNumberFormat="1" applyFont="1" applyFill="1" applyBorder="1" applyAlignment="1">
      <alignment horizontal="center"/>
      <protection/>
    </xf>
    <xf numFmtId="171" fontId="3" fillId="33" borderId="15" xfId="65" applyFont="1" applyFill="1" applyBorder="1" applyAlignment="1">
      <alignment horizontal="right"/>
    </xf>
    <xf numFmtId="169" fontId="3" fillId="33" borderId="20" xfId="66" applyNumberFormat="1" applyFont="1" applyFill="1" applyBorder="1" applyAlignment="1">
      <alignment horizontal="center"/>
    </xf>
    <xf numFmtId="169" fontId="3" fillId="33" borderId="15" xfId="66" applyNumberFormat="1" applyFont="1" applyFill="1" applyBorder="1" applyAlignment="1">
      <alignment horizontal="center"/>
    </xf>
    <xf numFmtId="180" fontId="1" fillId="0" borderId="24" xfId="66" applyNumberFormat="1" applyFont="1" applyFill="1" applyBorder="1" applyAlignment="1">
      <alignment horizontal="right"/>
    </xf>
    <xf numFmtId="180" fontId="1" fillId="0" borderId="23" xfId="66" applyNumberFormat="1" applyFont="1" applyFill="1" applyBorder="1" applyAlignment="1">
      <alignment horizontal="right"/>
    </xf>
    <xf numFmtId="171" fontId="1" fillId="33" borderId="14" xfId="65" applyFont="1" applyFill="1" applyBorder="1" applyAlignment="1">
      <alignment horizontal="right"/>
    </xf>
    <xf numFmtId="171" fontId="2" fillId="35" borderId="17" xfId="65" applyFont="1" applyFill="1" applyBorder="1" applyAlignment="1">
      <alignment horizontal="center"/>
    </xf>
    <xf numFmtId="171" fontId="2" fillId="35" borderId="12" xfId="65" applyFont="1" applyFill="1" applyBorder="1" applyAlignment="1">
      <alignment horizontal="center"/>
    </xf>
    <xf numFmtId="171" fontId="2" fillId="35" borderId="0" xfId="65" applyFont="1" applyFill="1" applyBorder="1" applyAlignment="1">
      <alignment horizontal="center"/>
    </xf>
    <xf numFmtId="171" fontId="3" fillId="33" borderId="17" xfId="65" applyFont="1" applyFill="1" applyBorder="1" applyAlignment="1">
      <alignment horizontal="center"/>
    </xf>
    <xf numFmtId="171" fontId="3" fillId="33" borderId="0" xfId="65" applyFont="1" applyFill="1" applyBorder="1" applyAlignment="1">
      <alignment horizontal="center"/>
    </xf>
    <xf numFmtId="180" fontId="1" fillId="33" borderId="21" xfId="66" applyNumberFormat="1" applyFont="1" applyFill="1" applyBorder="1" applyAlignment="1">
      <alignment horizontal="center"/>
    </xf>
    <xf numFmtId="180" fontId="1" fillId="33" borderId="19" xfId="66" applyNumberFormat="1" applyFont="1" applyFill="1" applyBorder="1" applyAlignment="1">
      <alignment horizontal="center"/>
    </xf>
    <xf numFmtId="171" fontId="1" fillId="33" borderId="21" xfId="65" applyFont="1" applyFill="1" applyBorder="1" applyAlignment="1">
      <alignment horizontal="right"/>
    </xf>
    <xf numFmtId="171" fontId="1" fillId="33" borderId="17" xfId="65" applyFont="1" applyFill="1" applyBorder="1" applyAlignment="1">
      <alignment horizontal="right"/>
    </xf>
    <xf numFmtId="171" fontId="1" fillId="33" borderId="0" xfId="65" applyFont="1" applyFill="1" applyBorder="1" applyAlignment="1">
      <alignment horizontal="right"/>
    </xf>
    <xf numFmtId="180" fontId="1" fillId="0" borderId="24" xfId="65" applyNumberFormat="1" applyFont="1" applyFill="1" applyBorder="1" applyAlignment="1">
      <alignment horizontal="center" wrapText="1"/>
    </xf>
    <xf numFmtId="180" fontId="1" fillId="0" borderId="23" xfId="65" applyNumberFormat="1" applyFont="1" applyFill="1" applyBorder="1" applyAlignment="1">
      <alignment horizontal="center" wrapText="1"/>
    </xf>
    <xf numFmtId="49" fontId="1" fillId="33" borderId="18" xfId="49" applyNumberFormat="1" applyFont="1" applyFill="1" applyBorder="1" applyAlignment="1">
      <alignment horizontal="left" vertical="center" wrapText="1"/>
      <protection/>
    </xf>
    <xf numFmtId="0" fontId="3" fillId="33" borderId="18" xfId="49" applyFont="1" applyFill="1" applyBorder="1" applyAlignment="1">
      <alignment horizontal="left"/>
      <protection/>
    </xf>
    <xf numFmtId="171" fontId="2" fillId="35" borderId="23" xfId="65" applyFont="1" applyFill="1" applyBorder="1" applyAlignment="1">
      <alignment horizontal="center"/>
    </xf>
    <xf numFmtId="49" fontId="1" fillId="33" borderId="18" xfId="49" applyNumberFormat="1" applyFont="1" applyFill="1" applyBorder="1" applyAlignment="1">
      <alignment horizontal="left"/>
      <protection/>
    </xf>
    <xf numFmtId="49" fontId="1" fillId="33" borderId="23" xfId="49" applyNumberFormat="1" applyFont="1" applyFill="1" applyBorder="1" applyAlignment="1">
      <alignment horizontal="left"/>
      <protection/>
    </xf>
    <xf numFmtId="180" fontId="1" fillId="33" borderId="24" xfId="65" applyNumberFormat="1" applyFont="1" applyFill="1" applyBorder="1" applyAlignment="1">
      <alignment horizontal="center"/>
    </xf>
    <xf numFmtId="180" fontId="1" fillId="33" borderId="23" xfId="65" applyNumberFormat="1" applyFont="1" applyFill="1" applyBorder="1" applyAlignment="1">
      <alignment horizontal="center"/>
    </xf>
    <xf numFmtId="49" fontId="1" fillId="33" borderId="14" xfId="49" applyNumberFormat="1" applyFont="1" applyFill="1" applyBorder="1" applyAlignment="1">
      <alignment horizontal="left"/>
      <protection/>
    </xf>
    <xf numFmtId="49" fontId="1" fillId="33" borderId="19" xfId="49" applyNumberFormat="1" applyFont="1" applyFill="1" applyBorder="1" applyAlignment="1">
      <alignment horizontal="left"/>
      <protection/>
    </xf>
    <xf numFmtId="169" fontId="3" fillId="33" borderId="12" xfId="66" applyNumberFormat="1" applyFont="1" applyFill="1" applyBorder="1" applyAlignment="1">
      <alignment horizontal="right"/>
    </xf>
    <xf numFmtId="0" fontId="3" fillId="33" borderId="0" xfId="49" applyFont="1" applyFill="1" applyBorder="1" applyAlignment="1">
      <alignment horizontal="left"/>
      <protection/>
    </xf>
    <xf numFmtId="0" fontId="3" fillId="33" borderId="12" xfId="49" applyFont="1" applyFill="1" applyBorder="1" applyAlignment="1">
      <alignment horizontal="left"/>
      <protection/>
    </xf>
    <xf numFmtId="169" fontId="1" fillId="33" borderId="21" xfId="66" applyNumberFormat="1" applyFont="1" applyFill="1" applyBorder="1" applyAlignment="1">
      <alignment horizontal="right"/>
    </xf>
    <xf numFmtId="169" fontId="1" fillId="33" borderId="14" xfId="66" applyNumberFormat="1" applyFont="1" applyFill="1" applyBorder="1" applyAlignment="1">
      <alignment horizontal="right"/>
    </xf>
    <xf numFmtId="0" fontId="1" fillId="33" borderId="12" xfId="49" applyFont="1" applyFill="1" applyBorder="1" applyAlignment="1">
      <alignment horizontal="left"/>
      <protection/>
    </xf>
    <xf numFmtId="0" fontId="3" fillId="33" borderId="23" xfId="49" applyFont="1" applyFill="1" applyBorder="1" applyAlignment="1">
      <alignment horizontal="left"/>
      <protection/>
    </xf>
    <xf numFmtId="180" fontId="1" fillId="33" borderId="18" xfId="66" applyNumberFormat="1" applyFont="1" applyFill="1" applyBorder="1" applyAlignment="1">
      <alignment horizontal="right"/>
    </xf>
    <xf numFmtId="0" fontId="3" fillId="33" borderId="15" xfId="49" applyFont="1" applyFill="1" applyBorder="1" applyAlignment="1">
      <alignment horizontal="left"/>
      <protection/>
    </xf>
    <xf numFmtId="0" fontId="3" fillId="33" borderId="22" xfId="49" applyFont="1" applyFill="1" applyBorder="1" applyAlignment="1">
      <alignment horizontal="left"/>
      <protection/>
    </xf>
    <xf numFmtId="169" fontId="3" fillId="33" borderId="20" xfId="66" applyNumberFormat="1" applyFont="1" applyFill="1" applyBorder="1" applyAlignment="1">
      <alignment horizontal="right"/>
    </xf>
    <xf numFmtId="169" fontId="3" fillId="33" borderId="22" xfId="66" applyNumberFormat="1" applyFont="1" applyFill="1" applyBorder="1" applyAlignment="1">
      <alignment horizontal="right"/>
    </xf>
    <xf numFmtId="0" fontId="1" fillId="33" borderId="14" xfId="49" applyNumberFormat="1" applyFont="1" applyFill="1" applyBorder="1" applyAlignment="1">
      <alignment horizontal="left"/>
      <protection/>
    </xf>
    <xf numFmtId="0" fontId="3" fillId="33" borderId="19" xfId="49" applyFont="1" applyFill="1" applyBorder="1" applyAlignment="1">
      <alignment horizontal="left"/>
      <protection/>
    </xf>
    <xf numFmtId="169" fontId="1" fillId="33" borderId="19" xfId="66" applyNumberFormat="1" applyFont="1" applyFill="1" applyBorder="1" applyAlignment="1">
      <alignment horizontal="right"/>
    </xf>
    <xf numFmtId="180" fontId="3" fillId="0" borderId="12" xfId="66" applyNumberFormat="1" applyFont="1" applyFill="1" applyBorder="1" applyAlignment="1">
      <alignment horizontal="center"/>
    </xf>
    <xf numFmtId="180" fontId="3" fillId="33" borderId="17" xfId="65" applyNumberFormat="1" applyFont="1" applyFill="1" applyBorder="1" applyAlignment="1">
      <alignment horizontal="right"/>
    </xf>
    <xf numFmtId="180" fontId="3" fillId="33" borderId="12" xfId="65" applyNumberFormat="1" applyFont="1" applyFill="1" applyBorder="1" applyAlignment="1">
      <alignment horizontal="right"/>
    </xf>
    <xf numFmtId="180" fontId="1" fillId="33" borderId="21" xfId="65" applyNumberFormat="1" applyFont="1" applyFill="1" applyBorder="1" applyAlignment="1">
      <alignment horizontal="right"/>
    </xf>
    <xf numFmtId="180" fontId="1" fillId="33" borderId="19" xfId="65" applyNumberFormat="1" applyFont="1" applyFill="1" applyBorder="1" applyAlignment="1">
      <alignment horizontal="right"/>
    </xf>
    <xf numFmtId="180" fontId="1" fillId="33" borderId="17" xfId="65" applyNumberFormat="1" applyFont="1" applyFill="1" applyBorder="1" applyAlignment="1">
      <alignment horizontal="right"/>
    </xf>
    <xf numFmtId="180" fontId="1" fillId="33" borderId="12" xfId="65" applyNumberFormat="1" applyFont="1" applyFill="1" applyBorder="1" applyAlignment="1">
      <alignment horizontal="right"/>
    </xf>
    <xf numFmtId="0" fontId="54" fillId="33" borderId="0" xfId="49" applyFont="1" applyFill="1" applyBorder="1" applyAlignment="1">
      <alignment horizontal="center" vertical="center"/>
      <protection/>
    </xf>
    <xf numFmtId="0" fontId="4" fillId="0" borderId="0" xfId="49" applyNumberFormat="1" applyFont="1" applyFill="1" applyAlignment="1">
      <alignment horizontal="center"/>
      <protection/>
    </xf>
    <xf numFmtId="49" fontId="4" fillId="0" borderId="0" xfId="49" applyNumberFormat="1" applyFont="1" applyFill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4" fillId="0" borderId="0" xfId="49" applyFont="1" applyFill="1" applyAlignment="1">
      <alignment horizont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left" vertical="center" wrapText="1"/>
      <protection/>
    </xf>
    <xf numFmtId="169" fontId="52" fillId="0" borderId="0" xfId="49" applyNumberFormat="1" applyFont="1" applyFill="1" applyAlignment="1">
      <alignment horizontal="center" wrapText="1"/>
      <protection/>
    </xf>
    <xf numFmtId="180" fontId="1" fillId="33" borderId="24" xfId="66" applyNumberFormat="1" applyFont="1" applyFill="1" applyBorder="1" applyAlignment="1">
      <alignment horizontal="center"/>
    </xf>
    <xf numFmtId="180" fontId="1" fillId="33" borderId="23" xfId="66" applyNumberFormat="1" applyFont="1" applyFill="1" applyBorder="1" applyAlignment="1">
      <alignment horizontal="center"/>
    </xf>
    <xf numFmtId="0" fontId="2" fillId="0" borderId="0" xfId="49" applyNumberFormat="1" applyFont="1" applyFill="1" applyAlignment="1">
      <alignment horizontal="center"/>
      <protection/>
    </xf>
    <xf numFmtId="0" fontId="1" fillId="0" borderId="0" xfId="49" applyNumberFormat="1" applyFont="1" applyFill="1" applyAlignment="1">
      <alignment horizontal="center"/>
      <protection/>
    </xf>
    <xf numFmtId="3" fontId="3" fillId="0" borderId="0" xfId="49" applyNumberFormat="1" applyFont="1" applyFill="1" applyAlignment="1">
      <alignment horizontal="center"/>
      <protection/>
    </xf>
    <xf numFmtId="43" fontId="3" fillId="0" borderId="0" xfId="49" applyNumberFormat="1" applyFont="1" applyFill="1" applyAlignment="1">
      <alignment horizontal="center" vertical="center"/>
      <protection/>
    </xf>
    <xf numFmtId="0" fontId="3" fillId="0" borderId="0" xfId="49" applyNumberFormat="1" applyFont="1" applyFill="1" applyAlignment="1">
      <alignment horizontal="center" vertical="center"/>
      <protection/>
    </xf>
    <xf numFmtId="0" fontId="10" fillId="0" borderId="0" xfId="49" applyNumberFormat="1" applyFont="1" applyFill="1" applyAlignment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838200</xdr:colOff>
      <xdr:row>127</xdr:row>
      <xdr:rowOff>104775</xdr:rowOff>
    </xdr:from>
    <xdr:to>
      <xdr:col>4</xdr:col>
      <xdr:colOff>114300</xdr:colOff>
      <xdr:row>131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253746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0</xdr:row>
      <xdr:rowOff>114300</xdr:rowOff>
    </xdr:from>
    <xdr:to>
      <xdr:col>4</xdr:col>
      <xdr:colOff>47625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114300"/>
          <a:ext cx="762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49"/>
  <sheetViews>
    <sheetView showGridLines="0" tabSelected="1" zoomScale="90" zoomScaleNormal="90" zoomScaleSheetLayoutView="70" workbookViewId="0" topLeftCell="J240">
      <selection activeCell="P54" sqref="P54"/>
    </sheetView>
  </sheetViews>
  <sheetFormatPr defaultColWidth="9.140625" defaultRowHeight="11.25" customHeight="1"/>
  <cols>
    <col min="1" max="1" width="80.00390625" style="2" customWidth="1"/>
    <col min="2" max="2" width="20.28125" style="2" bestFit="1" customWidth="1"/>
    <col min="3" max="3" width="22.57421875" style="2" bestFit="1" customWidth="1"/>
    <col min="4" max="4" width="22.28125" style="2" bestFit="1" customWidth="1"/>
    <col min="5" max="5" width="23.421875" style="2" bestFit="1" customWidth="1"/>
    <col min="6" max="6" width="20.28125" style="2" customWidth="1"/>
    <col min="7" max="7" width="21.28125" style="2" customWidth="1"/>
    <col min="8" max="8" width="10.421875" style="2" customWidth="1"/>
    <col min="9" max="9" width="12.00390625" style="2" bestFit="1" customWidth="1"/>
    <col min="10" max="10" width="22.57421875" style="2" bestFit="1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310" t="s">
        <v>27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</row>
    <row r="7" spans="1:12" s="4" customFormat="1" ht="15.75" customHeight="1">
      <c r="A7" s="311" t="s">
        <v>0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</row>
    <row r="8" spans="1:12" s="4" customFormat="1" ht="15.75" customHeight="1">
      <c r="A8" s="312" t="s">
        <v>1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</row>
    <row r="9" spans="1:12" s="4" customFormat="1" ht="15.75" customHeight="1">
      <c r="A9" s="313" t="s">
        <v>2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</row>
    <row r="10" spans="1:12" s="4" customFormat="1" ht="16.5">
      <c r="A10" s="202" t="s">
        <v>151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99" t="s">
        <v>152</v>
      </c>
    </row>
    <row r="13" spans="1:12" s="3" customFormat="1" ht="15.75">
      <c r="A13" s="8" t="s">
        <v>65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240" t="s">
        <v>4</v>
      </c>
      <c r="B14" s="241"/>
      <c r="C14" s="230" t="s">
        <v>66</v>
      </c>
      <c r="D14" s="77" t="s">
        <v>80</v>
      </c>
      <c r="E14" s="233" t="s">
        <v>3</v>
      </c>
      <c r="F14" s="234"/>
      <c r="G14" s="234"/>
      <c r="H14" s="234"/>
      <c r="I14" s="235"/>
      <c r="J14" s="236" t="s">
        <v>67</v>
      </c>
      <c r="K14" s="259"/>
      <c r="L14" s="259"/>
    </row>
    <row r="15" spans="1:12" s="3" customFormat="1" ht="15.75" customHeight="1">
      <c r="A15" s="242"/>
      <c r="B15" s="243"/>
      <c r="C15" s="231"/>
      <c r="D15" s="78" t="s">
        <v>6</v>
      </c>
      <c r="E15" s="77" t="s">
        <v>7</v>
      </c>
      <c r="F15" s="79" t="s">
        <v>8</v>
      </c>
      <c r="G15" s="236" t="s">
        <v>9</v>
      </c>
      <c r="H15" s="237"/>
      <c r="I15" s="79" t="s">
        <v>8</v>
      </c>
      <c r="J15" s="238"/>
      <c r="K15" s="239"/>
      <c r="L15" s="239"/>
    </row>
    <row r="16" spans="1:12" s="3" customFormat="1" ht="16.5" customHeight="1">
      <c r="A16" s="244"/>
      <c r="B16" s="245"/>
      <c r="C16" s="232"/>
      <c r="D16" s="80" t="s">
        <v>10</v>
      </c>
      <c r="E16" s="80" t="s">
        <v>11</v>
      </c>
      <c r="F16" s="80" t="s">
        <v>12</v>
      </c>
      <c r="G16" s="221" t="s">
        <v>68</v>
      </c>
      <c r="H16" s="222"/>
      <c r="I16" s="80" t="s">
        <v>13</v>
      </c>
      <c r="J16" s="221" t="s">
        <v>14</v>
      </c>
      <c r="K16" s="223"/>
      <c r="L16" s="223"/>
    </row>
    <row r="17" spans="1:13" s="3" customFormat="1" ht="15.75" customHeight="1">
      <c r="A17" s="224" t="s">
        <v>69</v>
      </c>
      <c r="B17" s="225"/>
      <c r="C17" s="101">
        <f>C18+C58</f>
        <v>87436734039</v>
      </c>
      <c r="D17" s="102">
        <f>D18+D58</f>
        <v>90146537838.21002</v>
      </c>
      <c r="E17" s="103">
        <f>E18+E58</f>
        <v>16638112810.790003</v>
      </c>
      <c r="F17" s="16">
        <f>(E17/D17)*100</f>
        <v>18.456740779830234</v>
      </c>
      <c r="G17" s="305">
        <f>G18+G58</f>
        <v>64640460900.600006</v>
      </c>
      <c r="H17" s="306"/>
      <c r="I17" s="16">
        <f>(G17/D17)*100</f>
        <v>71.70598278173821</v>
      </c>
      <c r="J17" s="228">
        <f>D17-G17</f>
        <v>25506076937.610016</v>
      </c>
      <c r="K17" s="229"/>
      <c r="L17" s="229"/>
      <c r="M17" s="17"/>
    </row>
    <row r="18" spans="1:13" s="3" customFormat="1" ht="15.75" customHeight="1">
      <c r="A18" s="216" t="s">
        <v>31</v>
      </c>
      <c r="B18" s="216"/>
      <c r="C18" s="104">
        <f>C19+C23+C28+C36+C37+C38+C44+C52</f>
        <v>86709808863</v>
      </c>
      <c r="D18" s="105">
        <f>D19+D23+D28+D36+D37+D38+D44+D52</f>
        <v>89558720296.32002</v>
      </c>
      <c r="E18" s="103">
        <f>E19+E23+E28+E36+E37+E38+E44+E52</f>
        <v>16606012839.440002</v>
      </c>
      <c r="F18" s="18">
        <f aca="true" t="shared" si="0" ref="F18:F43">(E18/D18)*100</f>
        <v>18.542038993518698</v>
      </c>
      <c r="G18" s="307">
        <f>G19+G23+G28+G36+G37+G38+G44+G52</f>
        <v>64548775650.100006</v>
      </c>
      <c r="H18" s="308"/>
      <c r="I18" s="18">
        <f aca="true" t="shared" si="1" ref="I18:I82">(G18/D18)*100</f>
        <v>72.07424965042999</v>
      </c>
      <c r="J18" s="219">
        <f>D18-G18</f>
        <v>25009944646.220016</v>
      </c>
      <c r="K18" s="220"/>
      <c r="L18" s="220"/>
      <c r="M18" s="19"/>
    </row>
    <row r="19" spans="1:13" s="3" customFormat="1" ht="15.75" customHeight="1">
      <c r="A19" s="183" t="s">
        <v>127</v>
      </c>
      <c r="B19" s="183"/>
      <c r="C19" s="106">
        <f>C20+C21+C22</f>
        <v>46773761849</v>
      </c>
      <c r="D19" s="100">
        <f>D20+D21+D22</f>
        <v>42654597122.5</v>
      </c>
      <c r="E19" s="107">
        <f>E20+E21+E22</f>
        <v>7046586125.930003</v>
      </c>
      <c r="F19" s="23">
        <f t="shared" si="0"/>
        <v>16.520109440238926</v>
      </c>
      <c r="G19" s="303">
        <f>G20+G21+H22</f>
        <v>29887304105.350002</v>
      </c>
      <c r="H19" s="304" t="e">
        <f>G20+G21+#REF!</f>
        <v>#REF!</v>
      </c>
      <c r="I19" s="23">
        <f t="shared" si="1"/>
        <v>70.06818988236243</v>
      </c>
      <c r="J19" s="157">
        <f>D19-G19</f>
        <v>12767293017.149998</v>
      </c>
      <c r="K19" s="158"/>
      <c r="L19" s="158"/>
      <c r="M19" s="19"/>
    </row>
    <row r="20" spans="1:12" s="3" customFormat="1" ht="15.75" customHeight="1">
      <c r="A20" s="183" t="s">
        <v>32</v>
      </c>
      <c r="B20" s="183"/>
      <c r="C20" s="106">
        <v>43591439245</v>
      </c>
      <c r="D20" s="100">
        <v>39663993123.15</v>
      </c>
      <c r="E20" s="107">
        <f>G20-20934692976.01</f>
        <v>6476510682.230003</v>
      </c>
      <c r="F20" s="23">
        <f t="shared" si="0"/>
        <v>16.328438395301077</v>
      </c>
      <c r="G20" s="214">
        <v>27411203658.24</v>
      </c>
      <c r="H20" s="215"/>
      <c r="I20" s="23">
        <f t="shared" si="1"/>
        <v>69.10853270151807</v>
      </c>
      <c r="J20" s="157">
        <f aca="true" t="shared" si="2" ref="J20:J81">D20-G20</f>
        <v>12252789464.91</v>
      </c>
      <c r="K20" s="158"/>
      <c r="L20" s="158"/>
    </row>
    <row r="21" spans="1:12" s="3" customFormat="1" ht="15.75" customHeight="1">
      <c r="A21" s="183" t="s">
        <v>33</v>
      </c>
      <c r="B21" s="183"/>
      <c r="C21" s="106">
        <v>3182322604</v>
      </c>
      <c r="D21" s="100">
        <v>2990603999.35</v>
      </c>
      <c r="E21" s="107">
        <f>G21-1906025003.41</f>
        <v>570075443.7</v>
      </c>
      <c r="F21" s="23">
        <f t="shared" si="0"/>
        <v>19.062217659840773</v>
      </c>
      <c r="G21" s="214">
        <v>2476100447.11</v>
      </c>
      <c r="H21" s="215"/>
      <c r="I21" s="23">
        <f t="shared" si="1"/>
        <v>82.79599865606326</v>
      </c>
      <c r="J21" s="157">
        <f t="shared" si="2"/>
        <v>514503552.2399998</v>
      </c>
      <c r="K21" s="158"/>
      <c r="L21" s="158"/>
    </row>
    <row r="22" spans="1:12" s="3" customFormat="1" ht="15.75" customHeight="1">
      <c r="A22" s="211" t="s">
        <v>128</v>
      </c>
      <c r="B22" s="211"/>
      <c r="C22" s="106">
        <v>0</v>
      </c>
      <c r="D22" s="100">
        <v>0</v>
      </c>
      <c r="E22" s="107">
        <f>G22-0</f>
        <v>0</v>
      </c>
      <c r="F22" s="23">
        <v>0</v>
      </c>
      <c r="G22" s="303">
        <v>0</v>
      </c>
      <c r="H22" s="304"/>
      <c r="I22" s="23">
        <v>0</v>
      </c>
      <c r="J22" s="157">
        <f t="shared" si="2"/>
        <v>0</v>
      </c>
      <c r="K22" s="158"/>
      <c r="L22" s="158"/>
    </row>
    <row r="23" spans="1:13" s="3" customFormat="1" ht="17.25" customHeight="1">
      <c r="A23" s="183" t="s">
        <v>132</v>
      </c>
      <c r="B23" s="183"/>
      <c r="C23" s="106">
        <f>C25+C24+C26+C27</f>
        <v>3198802657</v>
      </c>
      <c r="D23" s="100">
        <f>D25+D24+D26+D27</f>
        <v>3198802657</v>
      </c>
      <c r="E23" s="107">
        <f>E25+E24+E26+E27</f>
        <v>619391829.1199999</v>
      </c>
      <c r="F23" s="23">
        <f t="shared" si="0"/>
        <v>19.363239797383972</v>
      </c>
      <c r="G23" s="303">
        <f>SUM(G24:H27)</f>
        <v>2383259492.25</v>
      </c>
      <c r="H23" s="304"/>
      <c r="I23" s="23">
        <f t="shared" si="1"/>
        <v>74.50473654680349</v>
      </c>
      <c r="J23" s="157">
        <f t="shared" si="2"/>
        <v>815543164.75</v>
      </c>
      <c r="K23" s="158"/>
      <c r="L23" s="158"/>
      <c r="M23" s="19"/>
    </row>
    <row r="24" spans="1:12" s="3" customFormat="1" ht="15.75" customHeight="1">
      <c r="A24" s="183" t="s">
        <v>34</v>
      </c>
      <c r="B24" s="183"/>
      <c r="C24" s="106">
        <v>3198802657</v>
      </c>
      <c r="D24" s="100">
        <v>3198802657</v>
      </c>
      <c r="E24" s="107">
        <f>G24-1763867663.13</f>
        <v>619391829.1199999</v>
      </c>
      <c r="F24" s="23">
        <f t="shared" si="0"/>
        <v>19.363239797383972</v>
      </c>
      <c r="G24" s="214">
        <v>2383259492.25</v>
      </c>
      <c r="H24" s="215"/>
      <c r="I24" s="23">
        <f t="shared" si="1"/>
        <v>74.50473654680349</v>
      </c>
      <c r="J24" s="157">
        <f t="shared" si="2"/>
        <v>815543164.75</v>
      </c>
      <c r="K24" s="158"/>
      <c r="L24" s="158"/>
    </row>
    <row r="25" spans="1:12" s="3" customFormat="1" ht="15.75" customHeight="1">
      <c r="A25" s="183" t="s">
        <v>89</v>
      </c>
      <c r="B25" s="183"/>
      <c r="C25" s="106">
        <v>0</v>
      </c>
      <c r="D25" s="100">
        <v>0</v>
      </c>
      <c r="E25" s="107">
        <f>G25</f>
        <v>0</v>
      </c>
      <c r="F25" s="23">
        <v>0</v>
      </c>
      <c r="G25" s="303">
        <v>0</v>
      </c>
      <c r="H25" s="304"/>
      <c r="I25" s="23">
        <v>0</v>
      </c>
      <c r="J25" s="157">
        <f t="shared" si="2"/>
        <v>0</v>
      </c>
      <c r="K25" s="158"/>
      <c r="L25" s="158"/>
    </row>
    <row r="26" spans="1:12" s="3" customFormat="1" ht="15.75" customHeight="1">
      <c r="A26" s="183" t="s">
        <v>107</v>
      </c>
      <c r="B26" s="183"/>
      <c r="C26" s="106">
        <v>0</v>
      </c>
      <c r="D26" s="100">
        <v>0</v>
      </c>
      <c r="E26" s="107">
        <f>G26</f>
        <v>0</v>
      </c>
      <c r="F26" s="23">
        <v>0</v>
      </c>
      <c r="G26" s="303">
        <v>0</v>
      </c>
      <c r="H26" s="304"/>
      <c r="I26" s="23">
        <v>0</v>
      </c>
      <c r="J26" s="155">
        <f t="shared" si="2"/>
        <v>0</v>
      </c>
      <c r="K26" s="159"/>
      <c r="L26" s="159"/>
    </row>
    <row r="27" spans="1:12" s="3" customFormat="1" ht="15.75" customHeight="1">
      <c r="A27" s="183" t="s">
        <v>108</v>
      </c>
      <c r="B27" s="183"/>
      <c r="C27" s="106">
        <v>0</v>
      </c>
      <c r="D27" s="100">
        <v>0</v>
      </c>
      <c r="E27" s="107">
        <f>G27</f>
        <v>0</v>
      </c>
      <c r="F27" s="23">
        <v>0</v>
      </c>
      <c r="G27" s="303">
        <v>0</v>
      </c>
      <c r="H27" s="304"/>
      <c r="I27" s="23">
        <v>0</v>
      </c>
      <c r="J27" s="155">
        <f t="shared" si="2"/>
        <v>0</v>
      </c>
      <c r="K27" s="159"/>
      <c r="L27" s="159"/>
    </row>
    <row r="28" spans="1:13" s="3" customFormat="1" ht="15.75" customHeight="1">
      <c r="A28" s="183" t="s">
        <v>35</v>
      </c>
      <c r="B28" s="183"/>
      <c r="C28" s="106">
        <f>SUM(C29:C35)</f>
        <v>25704265065</v>
      </c>
      <c r="D28" s="100">
        <f>SUM(D29:D35)</f>
        <v>32241606619.04</v>
      </c>
      <c r="E28" s="107">
        <f>SUM(E29:E35)</f>
        <v>7227192380.429999</v>
      </c>
      <c r="F28" s="23">
        <f t="shared" si="0"/>
        <v>22.415732769849143</v>
      </c>
      <c r="G28" s="303">
        <f>SUM(G29:H35)</f>
        <v>24661664487.94</v>
      </c>
      <c r="H28" s="304">
        <f>SUM(H29:H35)</f>
        <v>0</v>
      </c>
      <c r="I28" s="23">
        <f t="shared" si="1"/>
        <v>76.49018480790056</v>
      </c>
      <c r="J28" s="157">
        <f t="shared" si="2"/>
        <v>7579942131.100002</v>
      </c>
      <c r="K28" s="158"/>
      <c r="L28" s="158"/>
      <c r="M28" s="24"/>
    </row>
    <row r="29" spans="1:12" s="3" customFormat="1" ht="15.75" customHeight="1">
      <c r="A29" s="183" t="s">
        <v>109</v>
      </c>
      <c r="B29" s="183"/>
      <c r="C29" s="106">
        <v>71970935</v>
      </c>
      <c r="D29" s="100">
        <v>73579740.94</v>
      </c>
      <c r="E29" s="107">
        <f>G29-32972313.04</f>
        <v>11000006.75</v>
      </c>
      <c r="F29" s="23">
        <f t="shared" si="0"/>
        <v>14.949776405124702</v>
      </c>
      <c r="G29" s="214">
        <v>43972319.79</v>
      </c>
      <c r="H29" s="215"/>
      <c r="I29" s="23">
        <f t="shared" si="1"/>
        <v>59.76144958957775</v>
      </c>
      <c r="J29" s="157">
        <f t="shared" si="2"/>
        <v>29607421.15</v>
      </c>
      <c r="K29" s="158"/>
      <c r="L29" s="158"/>
    </row>
    <row r="30" spans="1:12" s="3" customFormat="1" ht="15.75" customHeight="1">
      <c r="A30" s="183" t="s">
        <v>110</v>
      </c>
      <c r="B30" s="183"/>
      <c r="C30" s="106">
        <v>326996481</v>
      </c>
      <c r="D30" s="100">
        <v>1772709017.91</v>
      </c>
      <c r="E30" s="107">
        <f>G30-1565982355.57</f>
        <v>650732529.6200001</v>
      </c>
      <c r="F30" s="23">
        <f t="shared" si="0"/>
        <v>36.70836685804222</v>
      </c>
      <c r="G30" s="214">
        <v>2216714885.19</v>
      </c>
      <c r="H30" s="215"/>
      <c r="I30" s="23">
        <f t="shared" si="1"/>
        <v>125.0467427419914</v>
      </c>
      <c r="J30" s="157">
        <f t="shared" si="2"/>
        <v>-444005867.28</v>
      </c>
      <c r="K30" s="158"/>
      <c r="L30" s="158"/>
    </row>
    <row r="31" spans="1:12" s="3" customFormat="1" ht="15.75" customHeight="1">
      <c r="A31" s="183" t="s">
        <v>113</v>
      </c>
      <c r="B31" s="183"/>
      <c r="C31" s="106">
        <v>25748212</v>
      </c>
      <c r="D31" s="100">
        <v>25742834</v>
      </c>
      <c r="E31" s="107">
        <f>G31-11542659.58</f>
        <v>4006027.2200000007</v>
      </c>
      <c r="F31" s="23">
        <f t="shared" si="0"/>
        <v>15.561717952265862</v>
      </c>
      <c r="G31" s="214">
        <v>15548686.8</v>
      </c>
      <c r="H31" s="215"/>
      <c r="I31" s="23">
        <f t="shared" si="1"/>
        <v>60.400058517255715</v>
      </c>
      <c r="J31" s="157">
        <f t="shared" si="2"/>
        <v>10194147.2</v>
      </c>
      <c r="K31" s="158"/>
      <c r="L31" s="158"/>
    </row>
    <row r="32" spans="1:12" s="3" customFormat="1" ht="15.75" customHeight="1">
      <c r="A32" s="183" t="s">
        <v>111</v>
      </c>
      <c r="B32" s="183"/>
      <c r="C32" s="106">
        <v>2367526810</v>
      </c>
      <c r="D32" s="100">
        <v>1849954227.12</v>
      </c>
      <c r="E32" s="107">
        <f>G32-1563111064.15</f>
        <v>217476098.68999982</v>
      </c>
      <c r="F32" s="23">
        <f t="shared" si="0"/>
        <v>11.755755656104292</v>
      </c>
      <c r="G32" s="214">
        <v>1780587162.84</v>
      </c>
      <c r="H32" s="215"/>
      <c r="I32" s="23">
        <f t="shared" si="1"/>
        <v>96.25033618329086</v>
      </c>
      <c r="J32" s="157">
        <f t="shared" si="2"/>
        <v>69367064.27999997</v>
      </c>
      <c r="K32" s="158"/>
      <c r="L32" s="158"/>
    </row>
    <row r="33" spans="1:12" s="3" customFormat="1" ht="15.75" customHeight="1">
      <c r="A33" s="183" t="s">
        <v>112</v>
      </c>
      <c r="B33" s="183"/>
      <c r="C33" s="106">
        <v>0</v>
      </c>
      <c r="D33" s="100">
        <v>0</v>
      </c>
      <c r="E33" s="107">
        <f>G33</f>
        <v>0</v>
      </c>
      <c r="F33" s="23">
        <v>0</v>
      </c>
      <c r="G33" s="214">
        <v>0</v>
      </c>
      <c r="H33" s="215"/>
      <c r="I33" s="23">
        <v>0</v>
      </c>
      <c r="J33" s="157">
        <f t="shared" si="2"/>
        <v>0</v>
      </c>
      <c r="K33" s="158"/>
      <c r="L33" s="158"/>
    </row>
    <row r="34" spans="1:12" s="3" customFormat="1" ht="15.75" customHeight="1">
      <c r="A34" s="183" t="s">
        <v>115</v>
      </c>
      <c r="B34" s="183"/>
      <c r="C34" s="106">
        <v>0</v>
      </c>
      <c r="D34" s="100">
        <v>0</v>
      </c>
      <c r="E34" s="107">
        <f>G34-0</f>
        <v>0</v>
      </c>
      <c r="F34" s="23">
        <v>0</v>
      </c>
      <c r="G34" s="214">
        <v>0</v>
      </c>
      <c r="H34" s="215"/>
      <c r="I34" s="23">
        <v>0</v>
      </c>
      <c r="J34" s="157">
        <f t="shared" si="2"/>
        <v>0</v>
      </c>
      <c r="K34" s="158"/>
      <c r="L34" s="158"/>
    </row>
    <row r="35" spans="1:12" s="3" customFormat="1" ht="15.75" customHeight="1">
      <c r="A35" s="183" t="s">
        <v>114</v>
      </c>
      <c r="B35" s="183"/>
      <c r="C35" s="106">
        <v>22912022627</v>
      </c>
      <c r="D35" s="100">
        <v>28519620799.07</v>
      </c>
      <c r="E35" s="107">
        <f>G35-14260863715.17</f>
        <v>6343977718.15</v>
      </c>
      <c r="F35" s="23">
        <f t="shared" si="0"/>
        <v>22.24425690245107</v>
      </c>
      <c r="G35" s="214">
        <v>20604841433.32</v>
      </c>
      <c r="H35" s="215"/>
      <c r="I35" s="23">
        <f t="shared" si="1"/>
        <v>72.24795020413423</v>
      </c>
      <c r="J35" s="157">
        <f t="shared" si="2"/>
        <v>7914779365.75</v>
      </c>
      <c r="K35" s="158"/>
      <c r="L35" s="158"/>
    </row>
    <row r="36" spans="1:13" s="3" customFormat="1" ht="15.75" customHeight="1">
      <c r="A36" s="183" t="s">
        <v>36</v>
      </c>
      <c r="B36" s="183"/>
      <c r="C36" s="106">
        <v>208451</v>
      </c>
      <c r="D36" s="100">
        <v>208451</v>
      </c>
      <c r="E36" s="107">
        <f>G36-4100</f>
        <v>1220</v>
      </c>
      <c r="F36" s="23">
        <f t="shared" si="0"/>
        <v>0.5852694398203895</v>
      </c>
      <c r="G36" s="214">
        <v>5320</v>
      </c>
      <c r="H36" s="215"/>
      <c r="I36" s="23">
        <f t="shared" si="1"/>
        <v>2.5521585408561243</v>
      </c>
      <c r="J36" s="157">
        <f t="shared" si="2"/>
        <v>203131</v>
      </c>
      <c r="K36" s="158"/>
      <c r="L36" s="158"/>
      <c r="M36" s="19"/>
    </row>
    <row r="37" spans="1:13" s="3" customFormat="1" ht="15.75" customHeight="1">
      <c r="A37" s="183" t="s">
        <v>37</v>
      </c>
      <c r="B37" s="183"/>
      <c r="C37" s="106">
        <v>32189985</v>
      </c>
      <c r="D37" s="100">
        <v>32189985</v>
      </c>
      <c r="E37" s="107">
        <f>G37-136378.69</f>
        <v>529985.47</v>
      </c>
      <c r="F37" s="23">
        <f t="shared" si="0"/>
        <v>1.6464296892340893</v>
      </c>
      <c r="G37" s="214">
        <v>666364.16</v>
      </c>
      <c r="H37" s="215"/>
      <c r="I37" s="23">
        <f t="shared" si="1"/>
        <v>2.0700977648793564</v>
      </c>
      <c r="J37" s="157">
        <f t="shared" si="2"/>
        <v>31523620.84</v>
      </c>
      <c r="K37" s="158"/>
      <c r="L37" s="158"/>
      <c r="M37" s="19"/>
    </row>
    <row r="38" spans="1:13" s="3" customFormat="1" ht="15.75" customHeight="1">
      <c r="A38" s="183" t="s">
        <v>38</v>
      </c>
      <c r="B38" s="183"/>
      <c r="C38" s="106">
        <f>SUM(C39:C43)</f>
        <v>332922351</v>
      </c>
      <c r="D38" s="100">
        <f>SUM(D39:D43)</f>
        <v>331732842.74</v>
      </c>
      <c r="E38" s="107">
        <f>SUM(E39:E43)</f>
        <v>54142630.779999994</v>
      </c>
      <c r="F38" s="23">
        <f t="shared" si="0"/>
        <v>16.321154798180473</v>
      </c>
      <c r="G38" s="303">
        <f>SUM(G39:H43)</f>
        <v>195434612.25</v>
      </c>
      <c r="H38" s="304"/>
      <c r="I38" s="23">
        <f t="shared" si="1"/>
        <v>58.913254001556446</v>
      </c>
      <c r="J38" s="157">
        <f t="shared" si="2"/>
        <v>136298230.49</v>
      </c>
      <c r="K38" s="158"/>
      <c r="L38" s="158"/>
      <c r="M38" s="19"/>
    </row>
    <row r="39" spans="1:12" s="3" customFormat="1" ht="15.75" customHeight="1">
      <c r="A39" s="183" t="s">
        <v>102</v>
      </c>
      <c r="B39" s="183"/>
      <c r="C39" s="106">
        <v>230179729</v>
      </c>
      <c r="D39" s="100">
        <v>230181910.6</v>
      </c>
      <c r="E39" s="107">
        <f>G39-125426330.79</f>
        <v>44039585.239999995</v>
      </c>
      <c r="F39" s="23">
        <f t="shared" si="0"/>
        <v>19.132513552087964</v>
      </c>
      <c r="G39" s="214">
        <v>169465916.03</v>
      </c>
      <c r="H39" s="215"/>
      <c r="I39" s="23">
        <f t="shared" si="1"/>
        <v>73.62260378683294</v>
      </c>
      <c r="J39" s="157">
        <f t="shared" si="2"/>
        <v>60715994.56999999</v>
      </c>
      <c r="K39" s="158"/>
      <c r="L39" s="158"/>
    </row>
    <row r="40" spans="1:12" s="3" customFormat="1" ht="15.75" customHeight="1">
      <c r="A40" s="183" t="s">
        <v>103</v>
      </c>
      <c r="B40" s="183"/>
      <c r="C40" s="106">
        <v>6768066</v>
      </c>
      <c r="D40" s="100">
        <v>6768066</v>
      </c>
      <c r="E40" s="107">
        <f>G40-3812418.54</f>
        <v>2637988.21</v>
      </c>
      <c r="F40" s="23">
        <f t="shared" si="0"/>
        <v>38.97698707429863</v>
      </c>
      <c r="G40" s="214">
        <v>6450406.75</v>
      </c>
      <c r="H40" s="215"/>
      <c r="I40" s="23">
        <f t="shared" si="1"/>
        <v>95.30649893189576</v>
      </c>
      <c r="J40" s="155">
        <f t="shared" si="2"/>
        <v>317659.25</v>
      </c>
      <c r="K40" s="159"/>
      <c r="L40" s="159"/>
    </row>
    <row r="41" spans="1:12" s="3" customFormat="1" ht="15.75" customHeight="1">
      <c r="A41" s="183" t="s">
        <v>104</v>
      </c>
      <c r="B41" s="183"/>
      <c r="C41" s="106">
        <v>76151182</v>
      </c>
      <c r="D41" s="100">
        <v>76151182</v>
      </c>
      <c r="E41" s="107">
        <f>G41-317350.09</f>
        <v>104863.32999999996</v>
      </c>
      <c r="F41" s="23">
        <f t="shared" si="0"/>
        <v>0.13770413964158817</v>
      </c>
      <c r="G41" s="214">
        <v>422213.42</v>
      </c>
      <c r="H41" s="215"/>
      <c r="I41" s="23">
        <f t="shared" si="1"/>
        <v>0.5544410591026676</v>
      </c>
      <c r="J41" s="155">
        <f t="shared" si="2"/>
        <v>75728968.58</v>
      </c>
      <c r="K41" s="159"/>
      <c r="L41" s="159"/>
    </row>
    <row r="42" spans="1:12" s="3" customFormat="1" ht="15.75" customHeight="1">
      <c r="A42" s="183" t="s">
        <v>105</v>
      </c>
      <c r="B42" s="183"/>
      <c r="C42" s="106">
        <v>4529283</v>
      </c>
      <c r="D42" s="100">
        <v>3341308.39</v>
      </c>
      <c r="E42" s="107">
        <f>G42-2656823.38</f>
        <v>976914.1400000001</v>
      </c>
      <c r="F42" s="23">
        <f t="shared" si="0"/>
        <v>29.237473048693964</v>
      </c>
      <c r="G42" s="214">
        <v>3633737.52</v>
      </c>
      <c r="H42" s="215"/>
      <c r="I42" s="23">
        <f t="shared" si="1"/>
        <v>108.7519347473341</v>
      </c>
      <c r="J42" s="155">
        <f t="shared" si="2"/>
        <v>-292429.1299999999</v>
      </c>
      <c r="K42" s="159"/>
      <c r="L42" s="159"/>
    </row>
    <row r="43" spans="1:12" s="3" customFormat="1" ht="15.75" customHeight="1">
      <c r="A43" s="183" t="s">
        <v>106</v>
      </c>
      <c r="B43" s="183"/>
      <c r="C43" s="106">
        <v>15294091</v>
      </c>
      <c r="D43" s="100">
        <v>15290375.75</v>
      </c>
      <c r="E43" s="107">
        <f>G43-9079058.67</f>
        <v>6383279.859999999</v>
      </c>
      <c r="F43" s="23">
        <f t="shared" si="0"/>
        <v>41.747043789947405</v>
      </c>
      <c r="G43" s="214">
        <v>15462338.53</v>
      </c>
      <c r="H43" s="215"/>
      <c r="I43" s="23">
        <f t="shared" si="1"/>
        <v>101.1246471820681</v>
      </c>
      <c r="J43" s="155">
        <f t="shared" si="2"/>
        <v>-171962.77999999933</v>
      </c>
      <c r="K43" s="159"/>
      <c r="L43" s="159"/>
    </row>
    <row r="44" spans="1:13" s="3" customFormat="1" ht="15.75" customHeight="1">
      <c r="A44" s="183" t="s">
        <v>39</v>
      </c>
      <c r="B44" s="183"/>
      <c r="C44" s="106">
        <f>SUM(C45:C51)</f>
        <v>9071226363</v>
      </c>
      <c r="D44" s="100">
        <f>SUM(D45:D51)</f>
        <v>9687217413.74</v>
      </c>
      <c r="E44" s="107">
        <f>SUM(E45:E51)</f>
        <v>1277337399.5699997</v>
      </c>
      <c r="F44" s="23">
        <f aca="true" t="shared" si="3" ref="F44:F83">(E44/D44)*100</f>
        <v>13.185802950579703</v>
      </c>
      <c r="G44" s="303">
        <f>SUM(G45:H51)</f>
        <v>6278134431.35</v>
      </c>
      <c r="H44" s="304">
        <f>SUM(H45:H49)</f>
        <v>0</v>
      </c>
      <c r="I44" s="23">
        <f t="shared" si="1"/>
        <v>64.80843944356323</v>
      </c>
      <c r="J44" s="157">
        <f t="shared" si="2"/>
        <v>3409082982.3899994</v>
      </c>
      <c r="K44" s="158"/>
      <c r="L44" s="158"/>
      <c r="M44" s="19"/>
    </row>
    <row r="45" spans="1:12" s="3" customFormat="1" ht="15.75" customHeight="1">
      <c r="A45" s="183" t="s">
        <v>97</v>
      </c>
      <c r="B45" s="183"/>
      <c r="C45" s="106">
        <v>4499188588</v>
      </c>
      <c r="D45" s="100">
        <v>5115179638.74</v>
      </c>
      <c r="E45" s="107">
        <f>G45-2824194523.07</f>
        <v>659135509.31</v>
      </c>
      <c r="F45" s="23">
        <f t="shared" si="3"/>
        <v>12.885872166013742</v>
      </c>
      <c r="G45" s="214">
        <v>3483330032.38</v>
      </c>
      <c r="H45" s="215"/>
      <c r="I45" s="23">
        <f t="shared" si="1"/>
        <v>68.0979022906424</v>
      </c>
      <c r="J45" s="157">
        <f t="shared" si="2"/>
        <v>1631849606.3599997</v>
      </c>
      <c r="K45" s="158"/>
      <c r="L45" s="158"/>
    </row>
    <row r="46" spans="1:12" s="3" customFormat="1" ht="15.75" customHeight="1">
      <c r="A46" s="183" t="s">
        <v>98</v>
      </c>
      <c r="B46" s="183"/>
      <c r="C46" s="106">
        <v>2049252</v>
      </c>
      <c r="D46" s="100">
        <v>2049252</v>
      </c>
      <c r="E46" s="107">
        <f>G46-0</f>
        <v>0</v>
      </c>
      <c r="F46" s="23">
        <f t="shared" si="3"/>
        <v>0</v>
      </c>
      <c r="G46" s="214">
        <v>0</v>
      </c>
      <c r="H46" s="215"/>
      <c r="I46" s="23">
        <f t="shared" si="1"/>
        <v>0</v>
      </c>
      <c r="J46" s="157">
        <f t="shared" si="2"/>
        <v>2049252</v>
      </c>
      <c r="K46" s="158"/>
      <c r="L46" s="158"/>
    </row>
    <row r="47" spans="1:12" s="3" customFormat="1" ht="15.75" customHeight="1">
      <c r="A47" s="183" t="s">
        <v>99</v>
      </c>
      <c r="B47" s="183"/>
      <c r="C47" s="106">
        <v>118753068</v>
      </c>
      <c r="D47" s="100">
        <v>118753068</v>
      </c>
      <c r="E47" s="107">
        <f>G47-44829387.71</f>
        <v>14221896.920000002</v>
      </c>
      <c r="F47" s="23">
        <f t="shared" si="3"/>
        <v>11.9760248383646</v>
      </c>
      <c r="G47" s="214">
        <v>59051284.63</v>
      </c>
      <c r="H47" s="215"/>
      <c r="I47" s="23">
        <f t="shared" si="1"/>
        <v>49.72611286977445</v>
      </c>
      <c r="J47" s="157">
        <f t="shared" si="2"/>
        <v>59701783.37</v>
      </c>
      <c r="K47" s="158"/>
      <c r="L47" s="158"/>
    </row>
    <row r="48" spans="1:12" s="3" customFormat="1" ht="15.75" customHeight="1">
      <c r="A48" s="183" t="s">
        <v>40</v>
      </c>
      <c r="B48" s="183"/>
      <c r="C48" s="106">
        <v>29649120</v>
      </c>
      <c r="D48" s="100">
        <v>29649120</v>
      </c>
      <c r="E48" s="107">
        <f>G48-17613402.52</f>
        <v>3567561.8000000007</v>
      </c>
      <c r="F48" s="23">
        <f t="shared" si="3"/>
        <v>12.032606026755603</v>
      </c>
      <c r="G48" s="214">
        <v>21180964.32</v>
      </c>
      <c r="H48" s="215"/>
      <c r="I48" s="23">
        <f t="shared" si="1"/>
        <v>71.43876216224967</v>
      </c>
      <c r="J48" s="157">
        <f t="shared" si="2"/>
        <v>8468155.68</v>
      </c>
      <c r="K48" s="158"/>
      <c r="L48" s="158"/>
    </row>
    <row r="49" spans="1:12" s="3" customFormat="1" ht="15.75" customHeight="1">
      <c r="A49" s="183" t="s">
        <v>82</v>
      </c>
      <c r="B49" s="183"/>
      <c r="C49" s="106">
        <v>4418448658</v>
      </c>
      <c r="D49" s="100">
        <v>4418448658</v>
      </c>
      <c r="E49" s="107">
        <f>G49-2111208582.06</f>
        <v>599746490.8699999</v>
      </c>
      <c r="F49" s="23">
        <f t="shared" si="3"/>
        <v>13.573689258199362</v>
      </c>
      <c r="G49" s="214">
        <v>2710955072.93</v>
      </c>
      <c r="H49" s="215"/>
      <c r="I49" s="23">
        <f t="shared" si="1"/>
        <v>61.355359827969735</v>
      </c>
      <c r="J49" s="157">
        <f t="shared" si="2"/>
        <v>1707493585.0700002</v>
      </c>
      <c r="K49" s="158"/>
      <c r="L49" s="158"/>
    </row>
    <row r="50" spans="1:12" s="3" customFormat="1" ht="15.75" customHeight="1">
      <c r="A50" s="183" t="s">
        <v>41</v>
      </c>
      <c r="B50" s="183"/>
      <c r="C50" s="20">
        <v>26447</v>
      </c>
      <c r="D50" s="100">
        <v>26447</v>
      </c>
      <c r="E50" s="107">
        <f>G50-40499.32</f>
        <v>0</v>
      </c>
      <c r="F50" s="23">
        <v>0</v>
      </c>
      <c r="G50" s="155">
        <v>40499.32</v>
      </c>
      <c r="H50" s="156"/>
      <c r="I50" s="23">
        <v>0</v>
      </c>
      <c r="J50" s="155">
        <f t="shared" si="2"/>
        <v>-14052.32</v>
      </c>
      <c r="K50" s="159"/>
      <c r="L50" s="159"/>
    </row>
    <row r="51" spans="1:14" s="3" customFormat="1" ht="15.75" customHeight="1">
      <c r="A51" s="160" t="s">
        <v>148</v>
      </c>
      <c r="B51" s="160"/>
      <c r="C51" s="142">
        <v>3111230</v>
      </c>
      <c r="D51" s="143">
        <v>3111230</v>
      </c>
      <c r="E51" s="110">
        <f>G51-2910637.1</f>
        <v>665940.6699999999</v>
      </c>
      <c r="F51" s="144">
        <f>(E51/D51)*100</f>
        <v>21.404417866888657</v>
      </c>
      <c r="G51" s="163">
        <v>3576577.77</v>
      </c>
      <c r="H51" s="164"/>
      <c r="I51" s="144">
        <f t="shared" si="1"/>
        <v>114.95703532043598</v>
      </c>
      <c r="J51" s="161">
        <f>D51-G51</f>
        <v>-465347.77</v>
      </c>
      <c r="K51" s="162"/>
      <c r="L51" s="162"/>
      <c r="M51"/>
      <c r="N51"/>
    </row>
    <row r="52" spans="1:14" s="3" customFormat="1" ht="15.75" customHeight="1">
      <c r="A52" s="160" t="s">
        <v>42</v>
      </c>
      <c r="B52" s="160"/>
      <c r="C52" s="142">
        <f>SUM(C53:C57)</f>
        <v>1596432142</v>
      </c>
      <c r="D52" s="143">
        <f>SUM(D53:D57)</f>
        <v>1412365205.3000002</v>
      </c>
      <c r="E52" s="110">
        <f>SUM(E53:E57)</f>
        <v>380831268.14</v>
      </c>
      <c r="F52" s="144">
        <f t="shared" si="3"/>
        <v>26.964078887734118</v>
      </c>
      <c r="G52" s="161">
        <f>SUM(G53:H57)</f>
        <v>1142306836.8</v>
      </c>
      <c r="H52" s="302">
        <f>SUM(H53:H57)</f>
        <v>0</v>
      </c>
      <c r="I52" s="144">
        <f t="shared" si="1"/>
        <v>80.87899875424662</v>
      </c>
      <c r="J52" s="167">
        <f t="shared" si="2"/>
        <v>270058368.50000024</v>
      </c>
      <c r="K52" s="168"/>
      <c r="L52" s="168"/>
      <c r="M52"/>
      <c r="N52"/>
    </row>
    <row r="53" spans="1:14" s="3" customFormat="1" ht="15.75" customHeight="1">
      <c r="A53" s="160" t="s">
        <v>93</v>
      </c>
      <c r="B53" s="160"/>
      <c r="C53" s="142">
        <v>552165895</v>
      </c>
      <c r="D53" s="143">
        <v>374873571.16</v>
      </c>
      <c r="E53" s="110">
        <f>G53-165858688.53</f>
        <v>71455730.52000001</v>
      </c>
      <c r="F53" s="144">
        <f t="shared" si="3"/>
        <v>19.06128786270237</v>
      </c>
      <c r="G53" s="161">
        <v>237314419.05</v>
      </c>
      <c r="H53" s="302"/>
      <c r="I53" s="144">
        <f t="shared" si="1"/>
        <v>63.30518801729868</v>
      </c>
      <c r="J53" s="167">
        <f t="shared" si="2"/>
        <v>137559152.11</v>
      </c>
      <c r="K53" s="168"/>
      <c r="L53" s="168"/>
      <c r="M53"/>
      <c r="N53"/>
    </row>
    <row r="54" spans="1:14" s="3" customFormat="1" ht="15.75" customHeight="1">
      <c r="A54" s="160" t="s">
        <v>94</v>
      </c>
      <c r="B54" s="160"/>
      <c r="C54" s="142">
        <v>178111138</v>
      </c>
      <c r="D54" s="143">
        <v>165219581.77</v>
      </c>
      <c r="E54" s="110">
        <f>G54-75515149.92</f>
        <v>129164808.92</v>
      </c>
      <c r="F54" s="144">
        <f t="shared" si="3"/>
        <v>78.17766364994715</v>
      </c>
      <c r="G54" s="161">
        <v>204679958.84</v>
      </c>
      <c r="H54" s="302"/>
      <c r="I54" s="144">
        <f t="shared" si="1"/>
        <v>123.88359578644392</v>
      </c>
      <c r="J54" s="167">
        <f t="shared" si="2"/>
        <v>-39460377.06999999</v>
      </c>
      <c r="K54" s="168"/>
      <c r="L54" s="168"/>
      <c r="M54"/>
      <c r="N54"/>
    </row>
    <row r="55" spans="1:14" s="3" customFormat="1" ht="15.75" customHeight="1">
      <c r="A55" s="160" t="s">
        <v>95</v>
      </c>
      <c r="B55" s="160"/>
      <c r="C55" s="142">
        <v>120000</v>
      </c>
      <c r="D55" s="144">
        <v>120000</v>
      </c>
      <c r="E55" s="110">
        <f>G55-5500</f>
        <v>0</v>
      </c>
      <c r="F55" s="144">
        <f t="shared" si="3"/>
        <v>0</v>
      </c>
      <c r="G55" s="161">
        <v>5500</v>
      </c>
      <c r="H55" s="302"/>
      <c r="I55" s="144">
        <f t="shared" si="1"/>
        <v>4.583333333333333</v>
      </c>
      <c r="J55" s="167">
        <f t="shared" si="2"/>
        <v>114500</v>
      </c>
      <c r="K55" s="168"/>
      <c r="L55" s="168"/>
      <c r="M55"/>
      <c r="N55"/>
    </row>
    <row r="56" spans="1:14" s="3" customFormat="1" ht="15.75" customHeight="1">
      <c r="A56" s="160" t="s">
        <v>149</v>
      </c>
      <c r="B56" s="160"/>
      <c r="C56" s="142">
        <v>0</v>
      </c>
      <c r="D56" s="145">
        <v>0</v>
      </c>
      <c r="E56" s="110">
        <f>G56-0</f>
        <v>0</v>
      </c>
      <c r="F56" s="144">
        <v>0</v>
      </c>
      <c r="G56" s="163">
        <v>0</v>
      </c>
      <c r="H56" s="164"/>
      <c r="I56" s="144">
        <v>0</v>
      </c>
      <c r="J56" s="161">
        <f>D56-G56</f>
        <v>0</v>
      </c>
      <c r="K56" s="162"/>
      <c r="L56" s="162"/>
      <c r="M56"/>
      <c r="N56"/>
    </row>
    <row r="57" spans="1:20" s="3" customFormat="1" ht="15.75" customHeight="1">
      <c r="A57" s="183" t="s">
        <v>96</v>
      </c>
      <c r="B57" s="183"/>
      <c r="C57" s="106">
        <v>866035109</v>
      </c>
      <c r="D57" s="106">
        <v>872152052.37</v>
      </c>
      <c r="E57" s="107">
        <f>G57-520096230.21</f>
        <v>180210728.7</v>
      </c>
      <c r="F57" s="23">
        <f t="shared" si="3"/>
        <v>20.662764962863122</v>
      </c>
      <c r="G57" s="155">
        <v>700306958.91</v>
      </c>
      <c r="H57" s="156"/>
      <c r="I57" s="23">
        <f t="shared" si="1"/>
        <v>80.29642961992403</v>
      </c>
      <c r="J57" s="157">
        <f t="shared" si="2"/>
        <v>171845093.46000004</v>
      </c>
      <c r="K57" s="158"/>
      <c r="L57" s="158"/>
      <c r="M57"/>
      <c r="N57"/>
      <c r="O57" s="320"/>
      <c r="P57" s="320"/>
      <c r="Q57" s="320"/>
      <c r="R57" s="320"/>
      <c r="S57" s="320"/>
      <c r="T57" s="320"/>
    </row>
    <row r="58" spans="1:20" s="3" customFormat="1" ht="15.75" customHeight="1">
      <c r="A58" s="216" t="s">
        <v>43</v>
      </c>
      <c r="B58" s="216"/>
      <c r="C58" s="104">
        <f>C59+C62+C66+C67+C77</f>
        <v>726925176</v>
      </c>
      <c r="D58" s="105">
        <f>D59+D62+D66+D67+D77</f>
        <v>587817541.89</v>
      </c>
      <c r="E58" s="103">
        <f>E59+E62+E66+E67+E77</f>
        <v>32099971.35</v>
      </c>
      <c r="F58" s="18">
        <f t="shared" si="3"/>
        <v>5.4608733258945445</v>
      </c>
      <c r="G58" s="203">
        <f>G59+G62+G66+G67+G77</f>
        <v>91685250.5</v>
      </c>
      <c r="H58" s="204"/>
      <c r="I58" s="18">
        <f t="shared" si="1"/>
        <v>15.597569648092833</v>
      </c>
      <c r="J58" s="219">
        <f t="shared" si="2"/>
        <v>496132291.39</v>
      </c>
      <c r="K58" s="220"/>
      <c r="L58" s="220"/>
      <c r="M58" s="321"/>
      <c r="N58" s="321"/>
      <c r="O58" s="322"/>
      <c r="P58" s="323"/>
      <c r="Q58" s="1"/>
      <c r="R58" s="1"/>
      <c r="S58" s="1"/>
      <c r="T58" s="1"/>
    </row>
    <row r="59" spans="1:13" s="3" customFormat="1" ht="15.75" customHeight="1">
      <c r="A59" s="183" t="s">
        <v>44</v>
      </c>
      <c r="B59" s="183"/>
      <c r="C59" s="106">
        <f>C60+C61</f>
        <v>318303500</v>
      </c>
      <c r="D59" s="100">
        <f>D60+D61</f>
        <v>174495076.95</v>
      </c>
      <c r="E59" s="107">
        <f>E60+E61</f>
        <v>0</v>
      </c>
      <c r="F59" s="23">
        <f t="shared" si="3"/>
        <v>0</v>
      </c>
      <c r="G59" s="155">
        <f>G60+G61</f>
        <v>0</v>
      </c>
      <c r="H59" s="156"/>
      <c r="I59" s="23">
        <f t="shared" si="1"/>
        <v>0</v>
      </c>
      <c r="J59" s="157">
        <f t="shared" si="2"/>
        <v>174495076.95</v>
      </c>
      <c r="K59" s="158"/>
      <c r="L59" s="158"/>
      <c r="M59" s="25"/>
    </row>
    <row r="60" spans="1:12" s="3" customFormat="1" ht="15.75" customHeight="1">
      <c r="A60" s="183" t="s">
        <v>116</v>
      </c>
      <c r="B60" s="183"/>
      <c r="C60" s="106">
        <v>51541821</v>
      </c>
      <c r="D60" s="100">
        <v>0</v>
      </c>
      <c r="E60" s="107">
        <f>G60</f>
        <v>0</v>
      </c>
      <c r="F60" s="23">
        <v>0</v>
      </c>
      <c r="G60" s="155">
        <v>0</v>
      </c>
      <c r="H60" s="156"/>
      <c r="I60" s="23">
        <v>0</v>
      </c>
      <c r="J60" s="157">
        <f t="shared" si="2"/>
        <v>0</v>
      </c>
      <c r="K60" s="158"/>
      <c r="L60" s="158"/>
    </row>
    <row r="61" spans="1:12" s="3" customFormat="1" ht="15.75" customHeight="1">
      <c r="A61" s="183" t="s">
        <v>117</v>
      </c>
      <c r="B61" s="183"/>
      <c r="C61" s="106">
        <v>266761679</v>
      </c>
      <c r="D61" s="100">
        <v>174495076.95</v>
      </c>
      <c r="E61" s="107">
        <f>G61</f>
        <v>0</v>
      </c>
      <c r="F61" s="23">
        <f t="shared" si="3"/>
        <v>0</v>
      </c>
      <c r="G61" s="155">
        <v>0</v>
      </c>
      <c r="H61" s="156"/>
      <c r="I61" s="23">
        <f t="shared" si="1"/>
        <v>0</v>
      </c>
      <c r="J61" s="157">
        <f t="shared" si="2"/>
        <v>174495076.95</v>
      </c>
      <c r="K61" s="158"/>
      <c r="L61" s="158"/>
    </row>
    <row r="62" spans="1:12" s="3" customFormat="1" ht="15.75" customHeight="1">
      <c r="A62" s="183" t="s">
        <v>45</v>
      </c>
      <c r="B62" s="183"/>
      <c r="C62" s="106">
        <f>C63+C64+C65</f>
        <v>4233192</v>
      </c>
      <c r="D62" s="100">
        <f>D63+D64+D65</f>
        <v>4233192</v>
      </c>
      <c r="E62" s="107">
        <f>E63+E64+E65</f>
        <v>1625400</v>
      </c>
      <c r="F62" s="23">
        <f t="shared" si="3"/>
        <v>38.39655749136821</v>
      </c>
      <c r="G62" s="155">
        <f>SUM(G63:H65)</f>
        <v>1625400</v>
      </c>
      <c r="H62" s="156"/>
      <c r="I62" s="23">
        <f t="shared" si="1"/>
        <v>38.39655749136821</v>
      </c>
      <c r="J62" s="157">
        <f t="shared" si="2"/>
        <v>2607792</v>
      </c>
      <c r="K62" s="158"/>
      <c r="L62" s="158"/>
    </row>
    <row r="63" spans="1:12" s="3" customFormat="1" ht="15.75" customHeight="1">
      <c r="A63" s="183" t="s">
        <v>46</v>
      </c>
      <c r="B63" s="183"/>
      <c r="C63" s="106">
        <v>0</v>
      </c>
      <c r="D63" s="100">
        <v>0</v>
      </c>
      <c r="E63" s="107">
        <f>G63-0</f>
        <v>35400</v>
      </c>
      <c r="F63" s="23">
        <v>0</v>
      </c>
      <c r="G63" s="155">
        <v>35400</v>
      </c>
      <c r="H63" s="156"/>
      <c r="I63" s="23">
        <v>0</v>
      </c>
      <c r="J63" s="157">
        <f t="shared" si="2"/>
        <v>-35400</v>
      </c>
      <c r="K63" s="158"/>
      <c r="L63" s="158"/>
    </row>
    <row r="64" spans="1:12" s="3" customFormat="1" ht="15.75" customHeight="1">
      <c r="A64" s="183" t="s">
        <v>47</v>
      </c>
      <c r="B64" s="183"/>
      <c r="C64" s="106">
        <v>4233192</v>
      </c>
      <c r="D64" s="100">
        <v>4233192</v>
      </c>
      <c r="E64" s="107">
        <f>G64</f>
        <v>1590000</v>
      </c>
      <c r="F64" s="23">
        <f t="shared" si="3"/>
        <v>37.56030910008334</v>
      </c>
      <c r="G64" s="155">
        <v>1590000</v>
      </c>
      <c r="H64" s="156"/>
      <c r="I64" s="23">
        <f t="shared" si="1"/>
        <v>37.56030910008334</v>
      </c>
      <c r="J64" s="157">
        <f t="shared" si="2"/>
        <v>2643192</v>
      </c>
      <c r="K64" s="158"/>
      <c r="L64" s="158"/>
    </row>
    <row r="65" spans="1:12" s="3" customFormat="1" ht="15.75" customHeight="1">
      <c r="A65" s="183" t="s">
        <v>118</v>
      </c>
      <c r="B65" s="183"/>
      <c r="C65" s="106">
        <v>0</v>
      </c>
      <c r="D65" s="100">
        <v>0</v>
      </c>
      <c r="E65" s="107">
        <f>G65</f>
        <v>0</v>
      </c>
      <c r="F65" s="23">
        <v>0</v>
      </c>
      <c r="G65" s="155">
        <v>0</v>
      </c>
      <c r="H65" s="156"/>
      <c r="I65" s="23">
        <v>0</v>
      </c>
      <c r="J65" s="155">
        <f t="shared" si="2"/>
        <v>0</v>
      </c>
      <c r="K65" s="159"/>
      <c r="L65" s="159"/>
    </row>
    <row r="66" spans="1:12" s="3" customFormat="1" ht="15.75" customHeight="1">
      <c r="A66" s="183" t="s">
        <v>48</v>
      </c>
      <c r="B66" s="183"/>
      <c r="C66" s="106">
        <v>62892336</v>
      </c>
      <c r="D66" s="100">
        <v>67593124.94</v>
      </c>
      <c r="E66" s="107">
        <f>G66-35212384.11</f>
        <v>20234915.78</v>
      </c>
      <c r="F66" s="23">
        <f t="shared" si="3"/>
        <v>29.936351955856182</v>
      </c>
      <c r="G66" s="155">
        <v>55447299.89</v>
      </c>
      <c r="H66" s="156"/>
      <c r="I66" s="23">
        <f t="shared" si="1"/>
        <v>82.03097569348745</v>
      </c>
      <c r="J66" s="157">
        <f t="shared" si="2"/>
        <v>12145825.049999997</v>
      </c>
      <c r="K66" s="158"/>
      <c r="L66" s="158"/>
    </row>
    <row r="67" spans="1:12" s="3" customFormat="1" ht="15.75" customHeight="1">
      <c r="A67" s="183" t="s">
        <v>49</v>
      </c>
      <c r="B67" s="183"/>
      <c r="C67" s="106">
        <f>SUM(C68:C76)</f>
        <v>341496148</v>
      </c>
      <c r="D67" s="106">
        <f>SUM(D68:D76)</f>
        <v>341496148</v>
      </c>
      <c r="E67" s="107">
        <f>SUM(E68:E76)</f>
        <v>9791900.820000002</v>
      </c>
      <c r="F67" s="23">
        <f>(E67/D67)*100</f>
        <v>2.8673532270706614</v>
      </c>
      <c r="G67" s="155">
        <f>SUM(G68:H76)</f>
        <v>34164795.86</v>
      </c>
      <c r="H67" s="156">
        <f>SUM(H68:H75)</f>
        <v>0</v>
      </c>
      <c r="I67" s="23">
        <f>(G67/D67)*100</f>
        <v>10.004445455706868</v>
      </c>
      <c r="J67" s="157">
        <f>D67-G67</f>
        <v>307331352.14</v>
      </c>
      <c r="K67" s="158"/>
      <c r="L67" s="158"/>
    </row>
    <row r="68" spans="1:12" s="3" customFormat="1" ht="15.75" customHeight="1">
      <c r="A68" s="183" t="s">
        <v>97</v>
      </c>
      <c r="B68" s="183"/>
      <c r="C68" s="106">
        <v>313933061</v>
      </c>
      <c r="D68" s="100">
        <v>313933061</v>
      </c>
      <c r="E68" s="107">
        <f>G68-24249959.32</f>
        <v>9708398.310000002</v>
      </c>
      <c r="F68" s="23">
        <f t="shared" si="3"/>
        <v>3.092505860668177</v>
      </c>
      <c r="G68" s="155">
        <v>33958357.63</v>
      </c>
      <c r="H68" s="156"/>
      <c r="I68" s="23">
        <f t="shared" si="1"/>
        <v>10.817069575860952</v>
      </c>
      <c r="J68" s="157">
        <f t="shared" si="2"/>
        <v>279974703.37</v>
      </c>
      <c r="K68" s="158"/>
      <c r="L68" s="158"/>
    </row>
    <row r="69" spans="1:12" s="3" customFormat="1" ht="15.75" customHeight="1">
      <c r="A69" s="183" t="s">
        <v>98</v>
      </c>
      <c r="B69" s="183"/>
      <c r="C69" s="106">
        <v>0</v>
      </c>
      <c r="D69" s="100">
        <v>0</v>
      </c>
      <c r="E69" s="107">
        <f>G69</f>
        <v>0</v>
      </c>
      <c r="F69" s="23">
        <v>0</v>
      </c>
      <c r="G69" s="155">
        <v>0</v>
      </c>
      <c r="H69" s="156"/>
      <c r="I69" s="23">
        <v>0</v>
      </c>
      <c r="J69" s="157">
        <f t="shared" si="2"/>
        <v>0</v>
      </c>
      <c r="K69" s="158"/>
      <c r="L69" s="158"/>
    </row>
    <row r="70" spans="1:12" s="3" customFormat="1" ht="15.75" customHeight="1">
      <c r="A70" s="183" t="s">
        <v>99</v>
      </c>
      <c r="B70" s="183"/>
      <c r="C70" s="106">
        <v>5191538</v>
      </c>
      <c r="D70" s="100">
        <v>5191538</v>
      </c>
      <c r="E70" s="107">
        <f>G70</f>
        <v>0</v>
      </c>
      <c r="F70" s="23">
        <v>0</v>
      </c>
      <c r="G70" s="155">
        <v>0</v>
      </c>
      <c r="H70" s="156"/>
      <c r="I70" s="23">
        <v>0</v>
      </c>
      <c r="J70" s="157">
        <f t="shared" si="2"/>
        <v>5191538</v>
      </c>
      <c r="K70" s="158"/>
      <c r="L70" s="158"/>
    </row>
    <row r="71" spans="1:12" s="3" customFormat="1" ht="15.75" customHeight="1">
      <c r="A71" s="183" t="s">
        <v>40</v>
      </c>
      <c r="B71" s="183"/>
      <c r="C71" s="106">
        <v>18221549</v>
      </c>
      <c r="D71" s="100">
        <v>18221549</v>
      </c>
      <c r="E71" s="110">
        <f>G71</f>
        <v>6000</v>
      </c>
      <c r="F71" s="23">
        <f t="shared" si="3"/>
        <v>0.032928045798960345</v>
      </c>
      <c r="G71" s="155">
        <v>6000</v>
      </c>
      <c r="H71" s="156"/>
      <c r="I71" s="23">
        <f t="shared" si="1"/>
        <v>0.032928045798960345</v>
      </c>
      <c r="J71" s="157">
        <f t="shared" si="2"/>
        <v>18215549</v>
      </c>
      <c r="K71" s="158"/>
      <c r="L71" s="158"/>
    </row>
    <row r="72" spans="1:12" s="3" customFormat="1" ht="15.75" customHeight="1">
      <c r="A72" s="183" t="s">
        <v>82</v>
      </c>
      <c r="B72" s="183"/>
      <c r="C72" s="106">
        <v>0</v>
      </c>
      <c r="D72" s="100">
        <v>0</v>
      </c>
      <c r="E72" s="107">
        <f>G72</f>
        <v>0</v>
      </c>
      <c r="F72" s="23">
        <v>0</v>
      </c>
      <c r="G72" s="155">
        <v>0</v>
      </c>
      <c r="H72" s="156"/>
      <c r="I72" s="23">
        <v>0</v>
      </c>
      <c r="J72" s="157">
        <f t="shared" si="2"/>
        <v>0</v>
      </c>
      <c r="K72" s="158"/>
      <c r="L72" s="158"/>
    </row>
    <row r="73" spans="1:12" s="3" customFormat="1" ht="15.75" customHeight="1">
      <c r="A73" s="183" t="s">
        <v>41</v>
      </c>
      <c r="B73" s="183"/>
      <c r="C73" s="106">
        <v>0</v>
      </c>
      <c r="D73" s="100">
        <v>0</v>
      </c>
      <c r="E73" s="107">
        <f>G73</f>
        <v>0</v>
      </c>
      <c r="F73" s="23">
        <v>0</v>
      </c>
      <c r="G73" s="155">
        <v>0</v>
      </c>
      <c r="H73" s="156"/>
      <c r="I73" s="23">
        <v>0</v>
      </c>
      <c r="J73" s="157">
        <f t="shared" si="2"/>
        <v>0</v>
      </c>
      <c r="K73" s="158"/>
      <c r="L73" s="158"/>
    </row>
    <row r="74" spans="1:12" s="3" customFormat="1" ht="15.75" customHeight="1">
      <c r="A74" s="183" t="s">
        <v>100</v>
      </c>
      <c r="B74" s="183"/>
      <c r="C74" s="106">
        <v>4150000</v>
      </c>
      <c r="D74" s="100">
        <v>4150000</v>
      </c>
      <c r="E74" s="107">
        <f>G74-122935.72</f>
        <v>0</v>
      </c>
      <c r="F74" s="23">
        <f t="shared" si="3"/>
        <v>0</v>
      </c>
      <c r="G74" s="155">
        <v>122935.72</v>
      </c>
      <c r="H74" s="156"/>
      <c r="I74" s="23">
        <f t="shared" si="1"/>
        <v>2.9623065060240967</v>
      </c>
      <c r="J74" s="155">
        <f>D74-G74</f>
        <v>4027064.28</v>
      </c>
      <c r="K74" s="159"/>
      <c r="L74" s="159"/>
    </row>
    <row r="75" spans="1:17" s="3" customFormat="1" ht="15.75" customHeight="1">
      <c r="A75" s="183" t="s">
        <v>101</v>
      </c>
      <c r="B75" s="183"/>
      <c r="C75" s="106">
        <v>0</v>
      </c>
      <c r="D75" s="100">
        <v>0</v>
      </c>
      <c r="E75" s="107">
        <f>G75-0</f>
        <v>0</v>
      </c>
      <c r="F75" s="23">
        <v>0</v>
      </c>
      <c r="G75" s="155">
        <v>0</v>
      </c>
      <c r="H75" s="156"/>
      <c r="I75" s="23">
        <v>0</v>
      </c>
      <c r="J75" s="155">
        <f>D75-G75</f>
        <v>0</v>
      </c>
      <c r="K75" s="159"/>
      <c r="L75" s="159"/>
      <c r="N75" s="154"/>
      <c r="O75" s="154"/>
      <c r="P75" s="154"/>
      <c r="Q75" s="154"/>
    </row>
    <row r="76" spans="1:17" s="3" customFormat="1" ht="15.75" customHeight="1">
      <c r="A76" s="183" t="s">
        <v>153</v>
      </c>
      <c r="B76" s="183"/>
      <c r="C76" s="106">
        <v>0</v>
      </c>
      <c r="D76" s="100">
        <v>0</v>
      </c>
      <c r="E76" s="107">
        <f>G76-0</f>
        <v>77502.51</v>
      </c>
      <c r="F76" s="23">
        <v>0</v>
      </c>
      <c r="G76" s="155">
        <f>77502.51</f>
        <v>77502.51</v>
      </c>
      <c r="H76" s="156"/>
      <c r="I76" s="23">
        <v>0</v>
      </c>
      <c r="J76" s="157">
        <f>D76-G76</f>
        <v>-77502.51</v>
      </c>
      <c r="K76" s="158"/>
      <c r="L76" s="158"/>
      <c r="N76" s="154"/>
      <c r="O76" s="154"/>
      <c r="P76" s="154"/>
      <c r="Q76" s="154"/>
    </row>
    <row r="77" spans="1:17" s="3" customFormat="1" ht="15.75" customHeight="1">
      <c r="A77" s="195" t="s">
        <v>50</v>
      </c>
      <c r="B77" s="183"/>
      <c r="C77" s="106">
        <f>SUM(C78:C81)</f>
        <v>0</v>
      </c>
      <c r="D77" s="100">
        <f>SUM(D78:D81)</f>
        <v>0</v>
      </c>
      <c r="E77" s="107">
        <f>SUM(E78:E81)</f>
        <v>447754.75</v>
      </c>
      <c r="F77" s="23">
        <v>0</v>
      </c>
      <c r="G77" s="155">
        <f>SUM(G78:H81)</f>
        <v>447754.75</v>
      </c>
      <c r="H77" s="156">
        <f>SUM(H79:H81)</f>
        <v>0</v>
      </c>
      <c r="I77" s="23">
        <v>0</v>
      </c>
      <c r="J77" s="157">
        <f>D77-G77</f>
        <v>-447754.75</v>
      </c>
      <c r="K77" s="158"/>
      <c r="L77" s="158"/>
      <c r="N77" s="154"/>
      <c r="O77" s="154"/>
      <c r="P77" s="154"/>
      <c r="Q77" s="154"/>
    </row>
    <row r="78" spans="1:17" s="3" customFormat="1" ht="15.75" customHeight="1">
      <c r="A78" s="183" t="s">
        <v>119</v>
      </c>
      <c r="B78" s="183"/>
      <c r="C78" s="106">
        <v>0</v>
      </c>
      <c r="D78" s="100">
        <v>0</v>
      </c>
      <c r="E78" s="107">
        <f>G78</f>
        <v>0</v>
      </c>
      <c r="F78" s="23">
        <v>0</v>
      </c>
      <c r="G78" s="155">
        <v>0</v>
      </c>
      <c r="H78" s="156"/>
      <c r="I78" s="23">
        <v>0</v>
      </c>
      <c r="J78" s="157">
        <f t="shared" si="2"/>
        <v>0</v>
      </c>
      <c r="K78" s="158"/>
      <c r="L78" s="158"/>
      <c r="N78" s="154"/>
      <c r="O78" s="154"/>
      <c r="P78" s="154"/>
      <c r="Q78" s="154"/>
    </row>
    <row r="79" spans="1:12" s="3" customFormat="1" ht="15.75" customHeight="1">
      <c r="A79" s="183" t="s">
        <v>120</v>
      </c>
      <c r="B79" s="183"/>
      <c r="C79" s="106">
        <v>0</v>
      </c>
      <c r="D79" s="100">
        <v>0</v>
      </c>
      <c r="E79" s="107">
        <f>G79</f>
        <v>0</v>
      </c>
      <c r="F79" s="23">
        <v>0</v>
      </c>
      <c r="G79" s="155">
        <v>0</v>
      </c>
      <c r="H79" s="156"/>
      <c r="I79" s="23">
        <v>0</v>
      </c>
      <c r="J79" s="157">
        <f t="shared" si="2"/>
        <v>0</v>
      </c>
      <c r="K79" s="158"/>
      <c r="L79" s="158"/>
    </row>
    <row r="80" spans="1:12" s="3" customFormat="1" ht="15.75" customHeight="1">
      <c r="A80" s="183" t="s">
        <v>121</v>
      </c>
      <c r="B80" s="183"/>
      <c r="C80" s="106">
        <v>0</v>
      </c>
      <c r="D80" s="100">
        <v>0</v>
      </c>
      <c r="E80" s="107">
        <f>G80</f>
        <v>0</v>
      </c>
      <c r="F80" s="23">
        <v>0</v>
      </c>
      <c r="G80" s="155">
        <v>0</v>
      </c>
      <c r="H80" s="156"/>
      <c r="I80" s="23">
        <v>0</v>
      </c>
      <c r="J80" s="157">
        <f t="shared" si="2"/>
        <v>0</v>
      </c>
      <c r="K80" s="158"/>
      <c r="L80" s="158"/>
    </row>
    <row r="81" spans="1:17" s="3" customFormat="1" ht="15.75" customHeight="1">
      <c r="A81" s="160" t="s">
        <v>122</v>
      </c>
      <c r="B81" s="160"/>
      <c r="C81" s="142">
        <v>0</v>
      </c>
      <c r="D81" s="143">
        <v>0</v>
      </c>
      <c r="E81" s="110">
        <f>G81-0</f>
        <v>447754.75</v>
      </c>
      <c r="F81" s="144">
        <v>0</v>
      </c>
      <c r="G81" s="161">
        <f>447754.75</f>
        <v>447754.75</v>
      </c>
      <c r="H81" s="302"/>
      <c r="I81" s="144">
        <v>0</v>
      </c>
      <c r="J81" s="167">
        <f t="shared" si="2"/>
        <v>-447754.75</v>
      </c>
      <c r="K81" s="168"/>
      <c r="L81" s="168"/>
      <c r="N81" s="324"/>
      <c r="O81" s="324"/>
      <c r="P81" s="324"/>
      <c r="Q81" s="324"/>
    </row>
    <row r="82" spans="1:17" s="3" customFormat="1" ht="15.75" customHeight="1">
      <c r="A82" s="292" t="s">
        <v>51</v>
      </c>
      <c r="B82" s="289"/>
      <c r="C82" s="104">
        <f>C143</f>
        <v>5479454544</v>
      </c>
      <c r="D82" s="105">
        <f>D143</f>
        <v>5552222569.490001</v>
      </c>
      <c r="E82" s="103">
        <f>E143</f>
        <v>982954234.6600001</v>
      </c>
      <c r="F82" s="18">
        <f>(E82/D82)*100</f>
        <v>17.7037973956849</v>
      </c>
      <c r="G82" s="198">
        <f>G143</f>
        <v>3521465748.52</v>
      </c>
      <c r="H82" s="199"/>
      <c r="I82" s="18">
        <f t="shared" si="1"/>
        <v>63.42443416931436</v>
      </c>
      <c r="J82" s="219">
        <f>D82-G82</f>
        <v>2030756820.9700007</v>
      </c>
      <c r="K82" s="220"/>
      <c r="L82" s="220"/>
      <c r="N82" s="324"/>
      <c r="O82" s="324"/>
      <c r="P82" s="324"/>
      <c r="Q82" s="324"/>
    </row>
    <row r="83" spans="1:17" s="3" customFormat="1" ht="15.75" customHeight="1">
      <c r="A83" s="281" t="s">
        <v>28</v>
      </c>
      <c r="B83" s="293"/>
      <c r="C83" s="108">
        <f>C17+C82</f>
        <v>92916188583</v>
      </c>
      <c r="D83" s="109">
        <f>D17+D82</f>
        <v>95698760407.70003</v>
      </c>
      <c r="E83" s="108">
        <f>E17+E82</f>
        <v>17621067045.450005</v>
      </c>
      <c r="F83" s="26">
        <f t="shared" si="3"/>
        <v>18.413056731748632</v>
      </c>
      <c r="G83" s="317">
        <f>G17+G82</f>
        <v>68161926649.12</v>
      </c>
      <c r="H83" s="318"/>
      <c r="I83" s="26">
        <f>(G83/D83)*100</f>
        <v>71.22550632707633</v>
      </c>
      <c r="J83" s="255">
        <f>D83-G83</f>
        <v>27536833758.580025</v>
      </c>
      <c r="K83" s="294"/>
      <c r="L83" s="294"/>
      <c r="N83" s="324"/>
      <c r="O83" s="324"/>
      <c r="P83" s="324"/>
      <c r="Q83" s="324"/>
    </row>
    <row r="84" spans="1:12" s="3" customFormat="1" ht="15.75" customHeight="1">
      <c r="A84" s="299" t="s">
        <v>70</v>
      </c>
      <c r="B84" s="300"/>
      <c r="C84" s="27">
        <v>0</v>
      </c>
      <c r="D84" s="14">
        <v>0</v>
      </c>
      <c r="E84" s="15">
        <v>0</v>
      </c>
      <c r="F84" s="16">
        <v>0</v>
      </c>
      <c r="G84" s="290">
        <v>0</v>
      </c>
      <c r="H84" s="301"/>
      <c r="I84" s="16">
        <v>0</v>
      </c>
      <c r="J84" s="290">
        <v>0</v>
      </c>
      <c r="K84" s="291"/>
      <c r="L84" s="291"/>
    </row>
    <row r="85" spans="1:12" s="3" customFormat="1" ht="15.75" customHeight="1">
      <c r="A85" s="183" t="s">
        <v>123</v>
      </c>
      <c r="B85" s="289"/>
      <c r="C85" s="28">
        <v>0</v>
      </c>
      <c r="D85" s="21">
        <v>0</v>
      </c>
      <c r="E85" s="22">
        <v>0</v>
      </c>
      <c r="F85" s="23">
        <v>0</v>
      </c>
      <c r="G85" s="251">
        <v>0</v>
      </c>
      <c r="H85" s="287"/>
      <c r="I85" s="23">
        <v>0</v>
      </c>
      <c r="J85" s="251">
        <v>0</v>
      </c>
      <c r="K85" s="252"/>
      <c r="L85" s="252"/>
    </row>
    <row r="86" spans="1:14" s="3" customFormat="1" ht="15.75" customHeight="1">
      <c r="A86" s="183" t="s">
        <v>52</v>
      </c>
      <c r="B86" s="289"/>
      <c r="C86" s="28">
        <v>0</v>
      </c>
      <c r="D86" s="21">
        <v>0</v>
      </c>
      <c r="E86" s="22">
        <v>0</v>
      </c>
      <c r="F86" s="23">
        <v>0</v>
      </c>
      <c r="G86" s="251">
        <v>0</v>
      </c>
      <c r="H86" s="287"/>
      <c r="I86" s="23">
        <v>0</v>
      </c>
      <c r="J86" s="251">
        <v>0</v>
      </c>
      <c r="K86" s="252"/>
      <c r="L86" s="252"/>
      <c r="N86" s="47"/>
    </row>
    <row r="87" spans="1:12" s="3" customFormat="1" ht="15.75" customHeight="1">
      <c r="A87" s="288" t="s">
        <v>53</v>
      </c>
      <c r="B87" s="289"/>
      <c r="C87" s="28">
        <v>0</v>
      </c>
      <c r="D87" s="21">
        <v>0</v>
      </c>
      <c r="E87" s="22">
        <v>0</v>
      </c>
      <c r="F87" s="23">
        <v>0</v>
      </c>
      <c r="G87" s="251">
        <v>0</v>
      </c>
      <c r="H87" s="287"/>
      <c r="I87" s="23">
        <v>0</v>
      </c>
      <c r="J87" s="251">
        <v>0</v>
      </c>
      <c r="K87" s="252"/>
      <c r="L87" s="252"/>
    </row>
    <row r="88" spans="1:12" s="3" customFormat="1" ht="15.75" customHeight="1">
      <c r="A88" s="183" t="s">
        <v>124</v>
      </c>
      <c r="B88" s="289"/>
      <c r="C88" s="28">
        <v>0</v>
      </c>
      <c r="D88" s="21">
        <v>0</v>
      </c>
      <c r="E88" s="22">
        <v>0</v>
      </c>
      <c r="F88" s="23">
        <v>0</v>
      </c>
      <c r="G88" s="251">
        <v>0</v>
      </c>
      <c r="H88" s="287"/>
      <c r="I88" s="23">
        <v>0</v>
      </c>
      <c r="J88" s="251">
        <v>0</v>
      </c>
      <c r="K88" s="252"/>
      <c r="L88" s="252"/>
    </row>
    <row r="89" spans="1:12" s="3" customFormat="1" ht="15.75" customHeight="1">
      <c r="A89" s="183" t="s">
        <v>52</v>
      </c>
      <c r="B89" s="289"/>
      <c r="C89" s="28">
        <v>0</v>
      </c>
      <c r="D89" s="21">
        <v>0</v>
      </c>
      <c r="E89" s="22">
        <v>0</v>
      </c>
      <c r="F89" s="23">
        <v>0</v>
      </c>
      <c r="G89" s="251">
        <v>0</v>
      </c>
      <c r="H89" s="287"/>
      <c r="I89" s="23">
        <v>0</v>
      </c>
      <c r="J89" s="251">
        <v>0</v>
      </c>
      <c r="K89" s="252"/>
      <c r="L89" s="252"/>
    </row>
    <row r="90" spans="1:12" s="3" customFormat="1" ht="15.75" customHeight="1">
      <c r="A90" s="295" t="s">
        <v>53</v>
      </c>
      <c r="B90" s="296"/>
      <c r="C90" s="29">
        <v>0</v>
      </c>
      <c r="D90" s="30">
        <v>0</v>
      </c>
      <c r="E90" s="22">
        <v>0</v>
      </c>
      <c r="F90" s="31">
        <v>0</v>
      </c>
      <c r="G90" s="297">
        <v>0</v>
      </c>
      <c r="H90" s="298"/>
      <c r="I90" s="31">
        <v>0</v>
      </c>
      <c r="J90" s="251">
        <v>0</v>
      </c>
      <c r="K90" s="252"/>
      <c r="L90" s="252"/>
    </row>
    <row r="91" spans="1:13" s="3" customFormat="1" ht="15.75" customHeight="1">
      <c r="A91" s="281" t="s">
        <v>133</v>
      </c>
      <c r="B91" s="293"/>
      <c r="C91" s="111">
        <f>C83+C84</f>
        <v>92916188583</v>
      </c>
      <c r="D91" s="109">
        <f>D83+D84</f>
        <v>95698760407.70003</v>
      </c>
      <c r="E91" s="108">
        <f>E83+E84</f>
        <v>17621067045.450005</v>
      </c>
      <c r="F91" s="32">
        <f>(E91/D91)*100</f>
        <v>18.413056731748632</v>
      </c>
      <c r="G91" s="255">
        <f>G83+G84</f>
        <v>68161926649.12</v>
      </c>
      <c r="H91" s="256">
        <f>H83+H84</f>
        <v>0</v>
      </c>
      <c r="I91" s="18">
        <f>(G91/D91)*100</f>
        <v>71.22550632707633</v>
      </c>
      <c r="J91" s="255">
        <f>D91-G91</f>
        <v>27536833758.580025</v>
      </c>
      <c r="K91" s="294">
        <f>K83+K84</f>
        <v>0</v>
      </c>
      <c r="L91" s="294">
        <f>L83+L84</f>
        <v>0</v>
      </c>
      <c r="M91" s="33"/>
    </row>
    <row r="92" spans="1:13" s="3" customFormat="1" ht="15.75" customHeight="1">
      <c r="A92" s="281" t="s">
        <v>134</v>
      </c>
      <c r="B92" s="282"/>
      <c r="C92" s="134"/>
      <c r="D92" s="134"/>
      <c r="E92" s="134"/>
      <c r="F92" s="134"/>
      <c r="G92" s="263">
        <v>0</v>
      </c>
      <c r="H92" s="264"/>
      <c r="I92" s="135"/>
      <c r="J92" s="248"/>
      <c r="K92" s="249"/>
      <c r="L92" s="249"/>
      <c r="M92" s="25"/>
    </row>
    <row r="93" spans="1:17" s="3" customFormat="1" ht="15.75" customHeight="1">
      <c r="A93" s="285" t="s">
        <v>135</v>
      </c>
      <c r="B93" s="286"/>
      <c r="C93" s="108">
        <f>C91+C92</f>
        <v>92916188583</v>
      </c>
      <c r="D93" s="109">
        <f>D91+D92</f>
        <v>95698760407.70003</v>
      </c>
      <c r="E93" s="108">
        <f>E91+E92</f>
        <v>17621067045.450005</v>
      </c>
      <c r="F93" s="32">
        <f>(E93/D93)*100</f>
        <v>18.413056731748632</v>
      </c>
      <c r="G93" s="255">
        <f>G91+G92</f>
        <v>68161926649.12</v>
      </c>
      <c r="H93" s="256"/>
      <c r="I93" s="26">
        <f>(G93/D93)*100</f>
        <v>71.22550632707633</v>
      </c>
      <c r="J93" s="248"/>
      <c r="K93" s="249"/>
      <c r="L93" s="249"/>
      <c r="N93" s="316"/>
      <c r="O93" s="316"/>
      <c r="P93" s="316"/>
      <c r="Q93" s="316"/>
    </row>
    <row r="94" spans="1:17" s="3" customFormat="1" ht="15.75" customHeight="1">
      <c r="A94" s="278" t="s">
        <v>136</v>
      </c>
      <c r="B94" s="278"/>
      <c r="C94" s="26">
        <f>SUM(C95:C96)</f>
        <v>0</v>
      </c>
      <c r="D94" s="26">
        <f>SUM(D95:D96)</f>
        <v>10468705650.67</v>
      </c>
      <c r="E94" s="134"/>
      <c r="F94" s="134"/>
      <c r="G94" s="283">
        <f>SUM(G95:H96)</f>
        <v>10468705650.67</v>
      </c>
      <c r="H94" s="284">
        <f>SUM(H95:H96)</f>
        <v>0</v>
      </c>
      <c r="I94" s="135"/>
      <c r="J94" s="248"/>
      <c r="K94" s="249"/>
      <c r="L94" s="249"/>
      <c r="M94" s="34"/>
      <c r="N94" s="316"/>
      <c r="O94" s="316"/>
      <c r="P94" s="316"/>
      <c r="Q94" s="316"/>
    </row>
    <row r="95" spans="1:17" s="3" customFormat="1" ht="15.75" customHeight="1">
      <c r="A95" s="279" t="s">
        <v>83</v>
      </c>
      <c r="B95" s="279"/>
      <c r="C95" s="112">
        <v>0</v>
      </c>
      <c r="D95" s="113">
        <f>G95</f>
        <v>0</v>
      </c>
      <c r="E95" s="134"/>
      <c r="F95" s="134"/>
      <c r="G95" s="248"/>
      <c r="H95" s="280"/>
      <c r="I95" s="135"/>
      <c r="J95" s="248"/>
      <c r="K95" s="249"/>
      <c r="L95" s="249"/>
      <c r="M95" s="34"/>
      <c r="N95" s="316"/>
      <c r="O95" s="316"/>
      <c r="P95" s="316"/>
      <c r="Q95" s="316"/>
    </row>
    <row r="96" spans="1:17" s="3" customFormat="1" ht="15.75" customHeight="1">
      <c r="A96" s="279" t="s">
        <v>125</v>
      </c>
      <c r="B96" s="279"/>
      <c r="C96" s="134"/>
      <c r="D96" s="141">
        <f>G96</f>
        <v>10468705650.67</v>
      </c>
      <c r="E96" s="134"/>
      <c r="F96" s="134"/>
      <c r="G96" s="276">
        <v>10468705650.67</v>
      </c>
      <c r="H96" s="277"/>
      <c r="I96" s="135"/>
      <c r="J96" s="248"/>
      <c r="K96" s="249"/>
      <c r="L96" s="249"/>
      <c r="M96" s="34"/>
      <c r="N96" s="316"/>
      <c r="O96" s="316"/>
      <c r="P96" s="316"/>
      <c r="Q96" s="316"/>
    </row>
    <row r="97" spans="1:17" ht="15.75">
      <c r="A97" s="35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4"/>
      <c r="N97" s="316"/>
      <c r="O97" s="316"/>
      <c r="P97" s="316"/>
      <c r="Q97" s="316"/>
    </row>
    <row r="98" spans="1:12" s="3" customFormat="1" ht="17.25" customHeight="1">
      <c r="A98" s="188" t="s">
        <v>18</v>
      </c>
      <c r="B98" s="83" t="s">
        <v>15</v>
      </c>
      <c r="C98" s="83" t="s">
        <v>15</v>
      </c>
      <c r="D98" s="192" t="s">
        <v>16</v>
      </c>
      <c r="E98" s="193"/>
      <c r="F98" s="84" t="s">
        <v>67</v>
      </c>
      <c r="G98" s="192" t="s">
        <v>17</v>
      </c>
      <c r="H98" s="193"/>
      <c r="I98" s="194"/>
      <c r="J98" s="85" t="s">
        <v>67</v>
      </c>
      <c r="K98" s="170" t="s">
        <v>71</v>
      </c>
      <c r="L98" s="171"/>
    </row>
    <row r="99" spans="1:12" s="3" customFormat="1" ht="14.25" customHeight="1">
      <c r="A99" s="189"/>
      <c r="B99" s="86" t="s">
        <v>5</v>
      </c>
      <c r="C99" s="86" t="s">
        <v>6</v>
      </c>
      <c r="D99" s="87" t="s">
        <v>72</v>
      </c>
      <c r="E99" s="87" t="s">
        <v>73</v>
      </c>
      <c r="F99" s="88"/>
      <c r="G99" s="87" t="s">
        <v>72</v>
      </c>
      <c r="H99" s="174" t="s">
        <v>73</v>
      </c>
      <c r="I99" s="175"/>
      <c r="J99" s="89"/>
      <c r="K99" s="172"/>
      <c r="L99" s="173"/>
    </row>
    <row r="100" spans="1:12" s="3" customFormat="1" ht="14.25" customHeight="1">
      <c r="A100" s="189"/>
      <c r="B100" s="86"/>
      <c r="C100" s="86"/>
      <c r="D100" s="88" t="s">
        <v>74</v>
      </c>
      <c r="E100" s="88" t="s">
        <v>74</v>
      </c>
      <c r="F100" s="88"/>
      <c r="G100" s="88" t="s">
        <v>74</v>
      </c>
      <c r="H100" s="176" t="s">
        <v>74</v>
      </c>
      <c r="I100" s="177"/>
      <c r="J100" s="89"/>
      <c r="K100" s="172"/>
      <c r="L100" s="173"/>
    </row>
    <row r="101" spans="1:12" s="3" customFormat="1" ht="16.5" customHeight="1">
      <c r="A101" s="190"/>
      <c r="B101" s="90" t="s">
        <v>19</v>
      </c>
      <c r="C101" s="90" t="s">
        <v>20</v>
      </c>
      <c r="D101" s="90"/>
      <c r="E101" s="90" t="s">
        <v>75</v>
      </c>
      <c r="F101" s="91" t="s">
        <v>76</v>
      </c>
      <c r="G101" s="90"/>
      <c r="H101" s="206" t="s">
        <v>21</v>
      </c>
      <c r="I101" s="207"/>
      <c r="J101" s="92" t="s">
        <v>77</v>
      </c>
      <c r="K101" s="206" t="s">
        <v>22</v>
      </c>
      <c r="L101" s="208"/>
    </row>
    <row r="102" spans="1:13" s="3" customFormat="1" ht="15.75" customHeight="1">
      <c r="A102" s="41" t="s">
        <v>78</v>
      </c>
      <c r="B102" s="105">
        <f>B103+B109+B113</f>
        <v>86595710019</v>
      </c>
      <c r="C102" s="105">
        <f>C103+C109+C113</f>
        <v>98617049041.4</v>
      </c>
      <c r="D102" s="105">
        <f>D103+D109+D113</f>
        <v>14382251750.750004</v>
      </c>
      <c r="E102" s="105">
        <f>E103+E109+E113</f>
        <v>61513993291.80001</v>
      </c>
      <c r="F102" s="105">
        <f>C102-E102</f>
        <v>37103055749.59998</v>
      </c>
      <c r="G102" s="114">
        <f>G103+G109+G113</f>
        <v>14531471808.66</v>
      </c>
      <c r="H102" s="271">
        <f>H103+H109+H113</f>
        <v>52179147631.39001</v>
      </c>
      <c r="I102" s="272"/>
      <c r="J102" s="102">
        <f aca="true" t="shared" si="4" ref="J102:J107">C102-H102</f>
        <v>46437901410.00999</v>
      </c>
      <c r="K102" s="273">
        <f>K103+K109+K113</f>
        <v>51142613728.39</v>
      </c>
      <c r="L102" s="265" t="e">
        <f>L103+L109+L113+#REF!</f>
        <v>#REF!</v>
      </c>
      <c r="M102" s="17"/>
    </row>
    <row r="103" spans="1:13" s="3" customFormat="1" ht="15.75" customHeight="1">
      <c r="A103" s="42" t="s">
        <v>54</v>
      </c>
      <c r="B103" s="105">
        <f>SUM(B104:B106)</f>
        <v>76496269598</v>
      </c>
      <c r="C103" s="105">
        <f>SUM(C104:C106)</f>
        <v>82523959133.44</v>
      </c>
      <c r="D103" s="105">
        <f>SUM(D104:D106)</f>
        <v>12999248904.890003</v>
      </c>
      <c r="E103" s="105">
        <f>SUM(E104:E106)</f>
        <v>55533535028.18001</v>
      </c>
      <c r="F103" s="105">
        <f>C103-E103</f>
        <v>26990424105.259995</v>
      </c>
      <c r="G103" s="114">
        <f>SUM(G104:G106)</f>
        <v>13588990160.5</v>
      </c>
      <c r="H103" s="203">
        <f>SUM(H104:H106)</f>
        <v>49340277776.07001</v>
      </c>
      <c r="I103" s="204"/>
      <c r="J103" s="105">
        <f t="shared" si="4"/>
        <v>33183681357.369995</v>
      </c>
      <c r="K103" s="274">
        <f>SUM(K104:K106)</f>
        <v>48450639080.83</v>
      </c>
      <c r="L103" s="275">
        <f>SUM(L104:L106)</f>
        <v>0</v>
      </c>
      <c r="M103" s="25"/>
    </row>
    <row r="104" spans="1:13" s="1" customFormat="1" ht="15.75" customHeight="1">
      <c r="A104" s="43" t="s">
        <v>55</v>
      </c>
      <c r="B104" s="100">
        <v>52472815839</v>
      </c>
      <c r="C104" s="100">
        <v>53896142700.1</v>
      </c>
      <c r="D104" s="100">
        <f>E104-27664993194.59</f>
        <v>8361671996.0700035</v>
      </c>
      <c r="E104" s="100">
        <v>36026665190.66</v>
      </c>
      <c r="F104" s="100">
        <f>C104-E104</f>
        <v>17869477509.439995</v>
      </c>
      <c r="G104" s="117">
        <f>H104-24846426797.33</f>
        <v>8504166331.07</v>
      </c>
      <c r="H104" s="155">
        <v>33350593128.4</v>
      </c>
      <c r="I104" s="156"/>
      <c r="J104" s="100">
        <f>C104-H104</f>
        <v>20545549571.699997</v>
      </c>
      <c r="K104" s="269">
        <v>33077452832.94</v>
      </c>
      <c r="L104" s="270"/>
      <c r="M104" s="45"/>
    </row>
    <row r="105" spans="1:13" s="3" customFormat="1" ht="15.75" customHeight="1">
      <c r="A105" s="43" t="s">
        <v>56</v>
      </c>
      <c r="B105" s="100">
        <v>1514362957</v>
      </c>
      <c r="C105" s="100">
        <v>540636566.36</v>
      </c>
      <c r="D105" s="100">
        <f>E105-51749404.36</f>
        <v>177307417.52999997</v>
      </c>
      <c r="E105" s="100">
        <v>229056821.89</v>
      </c>
      <c r="F105" s="100">
        <f aca="true" t="shared" si="5" ref="F105:F113">C105-E105</f>
        <v>311579744.47</v>
      </c>
      <c r="G105" s="117">
        <f>H105-51702063.1</f>
        <v>177321525.96</v>
      </c>
      <c r="H105" s="155">
        <v>229023589.06</v>
      </c>
      <c r="I105" s="156"/>
      <c r="J105" s="100">
        <f>C105-H105</f>
        <v>311612977.3</v>
      </c>
      <c r="K105" s="269">
        <v>229023589.06</v>
      </c>
      <c r="L105" s="270"/>
      <c r="M105" s="46"/>
    </row>
    <row r="106" spans="1:13" s="3" customFormat="1" ht="15.75" customHeight="1">
      <c r="A106" s="43" t="s">
        <v>57</v>
      </c>
      <c r="B106" s="100">
        <f>B107+B108</f>
        <v>22509090802</v>
      </c>
      <c r="C106" s="100">
        <f>C107+C108</f>
        <v>28087179866.98</v>
      </c>
      <c r="D106" s="100">
        <f>D107+D108</f>
        <v>4460269491.290001</v>
      </c>
      <c r="E106" s="100">
        <f>E107+E108</f>
        <v>19277813015.63</v>
      </c>
      <c r="F106" s="100">
        <f t="shared" si="5"/>
        <v>8809366851.349998</v>
      </c>
      <c r="G106" s="117">
        <f>G107+G108</f>
        <v>4907502303.470001</v>
      </c>
      <c r="H106" s="155">
        <f>H107+H108</f>
        <v>15760661058.61</v>
      </c>
      <c r="I106" s="156"/>
      <c r="J106" s="100">
        <f>C106-H106</f>
        <v>12326518808.369999</v>
      </c>
      <c r="K106" s="269">
        <f>K107+K108</f>
        <v>15144162658.83</v>
      </c>
      <c r="L106" s="270"/>
      <c r="M106" s="47"/>
    </row>
    <row r="107" spans="1:12" s="3" customFormat="1" ht="15.75" customHeight="1">
      <c r="A107" s="48" t="s">
        <v>137</v>
      </c>
      <c r="B107" s="100">
        <v>0</v>
      </c>
      <c r="C107" s="100">
        <v>0</v>
      </c>
      <c r="D107" s="100">
        <f>E107</f>
        <v>0</v>
      </c>
      <c r="E107" s="100">
        <v>0</v>
      </c>
      <c r="F107" s="100">
        <f t="shared" si="5"/>
        <v>0</v>
      </c>
      <c r="G107" s="117">
        <f>H107</f>
        <v>0</v>
      </c>
      <c r="H107" s="155">
        <v>0</v>
      </c>
      <c r="I107" s="156"/>
      <c r="J107" s="100">
        <f t="shared" si="4"/>
        <v>0</v>
      </c>
      <c r="K107" s="269">
        <v>0</v>
      </c>
      <c r="L107" s="270"/>
    </row>
    <row r="108" spans="1:12" s="3" customFormat="1" ht="15.75" customHeight="1">
      <c r="A108" s="48" t="s">
        <v>138</v>
      </c>
      <c r="B108" s="100">
        <v>22509090802</v>
      </c>
      <c r="C108" s="100">
        <v>28087179866.98</v>
      </c>
      <c r="D108" s="100">
        <f>E108-14817543524.34</f>
        <v>4460269491.290001</v>
      </c>
      <c r="E108" s="100">
        <v>19277813015.63</v>
      </c>
      <c r="F108" s="100">
        <f t="shared" si="5"/>
        <v>8809366851.349998</v>
      </c>
      <c r="G108" s="117">
        <f>H108-10853158755.14</f>
        <v>4907502303.470001</v>
      </c>
      <c r="H108" s="155">
        <v>15760661058.61</v>
      </c>
      <c r="I108" s="156"/>
      <c r="J108" s="100">
        <f aca="true" t="shared" si="6" ref="J108:J116">C108-H108</f>
        <v>12326518808.369999</v>
      </c>
      <c r="K108" s="269">
        <v>15144162658.83</v>
      </c>
      <c r="L108" s="270"/>
    </row>
    <row r="109" spans="1:14" s="1" customFormat="1" ht="15.75">
      <c r="A109" s="42" t="s">
        <v>58</v>
      </c>
      <c r="B109" s="105">
        <f>SUM(B110:B112)</f>
        <v>7648694978</v>
      </c>
      <c r="C109" s="105">
        <f>SUM(C110:C112)</f>
        <v>13646344464.96</v>
      </c>
      <c r="D109" s="105">
        <f>SUM(D110:D112)</f>
        <v>1383002845.8600001</v>
      </c>
      <c r="E109" s="105">
        <f>SUM(E110:E112)</f>
        <v>5980458263.62</v>
      </c>
      <c r="F109" s="105">
        <f t="shared" si="5"/>
        <v>7665886201.339999</v>
      </c>
      <c r="G109" s="114">
        <f>SUM(G110:G112)</f>
        <v>942481648.1600001</v>
      </c>
      <c r="H109" s="203">
        <f>SUM(H110:I112)</f>
        <v>2838869855.32</v>
      </c>
      <c r="I109" s="204"/>
      <c r="J109" s="105">
        <f t="shared" si="6"/>
        <v>10807474609.64</v>
      </c>
      <c r="K109" s="246">
        <f>SUM(K110:K112)</f>
        <v>2691974647.5600004</v>
      </c>
      <c r="L109" s="247"/>
      <c r="N109" s="45"/>
    </row>
    <row r="110" spans="1:14" s="3" customFormat="1" ht="15.75" customHeight="1">
      <c r="A110" s="43" t="s">
        <v>59</v>
      </c>
      <c r="B110" s="100">
        <v>6597231016</v>
      </c>
      <c r="C110" s="100">
        <v>12483392329.08</v>
      </c>
      <c r="D110" s="100">
        <f>E110-4044704375.72</f>
        <v>1309497330.3600001</v>
      </c>
      <c r="E110" s="100">
        <v>5354201706.08</v>
      </c>
      <c r="F110" s="100">
        <f t="shared" si="5"/>
        <v>7129190623</v>
      </c>
      <c r="G110" s="117">
        <f>H110-1345815776.99</f>
        <v>866989325.97</v>
      </c>
      <c r="H110" s="155">
        <v>2212805102.96</v>
      </c>
      <c r="I110" s="156"/>
      <c r="J110" s="100">
        <f t="shared" si="6"/>
        <v>10270587226.119999</v>
      </c>
      <c r="K110" s="269">
        <v>2079551119.67</v>
      </c>
      <c r="L110" s="270"/>
      <c r="N110" s="46"/>
    </row>
    <row r="111" spans="1:12" s="3" customFormat="1" ht="15.75" customHeight="1">
      <c r="A111" s="43" t="s">
        <v>60</v>
      </c>
      <c r="B111" s="100">
        <v>556948729</v>
      </c>
      <c r="C111" s="100">
        <v>924521710.13</v>
      </c>
      <c r="D111" s="100">
        <f>E111-373181911.79</f>
        <v>14644220</v>
      </c>
      <c r="E111" s="100">
        <v>387826131.79</v>
      </c>
      <c r="F111" s="100">
        <f t="shared" si="5"/>
        <v>536695578.34</v>
      </c>
      <c r="G111" s="117">
        <f>H111-371122495.82</f>
        <v>16584220</v>
      </c>
      <c r="H111" s="155">
        <v>387706715.82</v>
      </c>
      <c r="I111" s="156"/>
      <c r="J111" s="100">
        <f t="shared" si="6"/>
        <v>536814994.31</v>
      </c>
      <c r="K111" s="269">
        <v>374086715.82</v>
      </c>
      <c r="L111" s="270"/>
    </row>
    <row r="112" spans="1:14" s="3" customFormat="1" ht="15.75" customHeight="1">
      <c r="A112" s="43" t="s">
        <v>61</v>
      </c>
      <c r="B112" s="100">
        <v>494515233</v>
      </c>
      <c r="C112" s="100">
        <v>238430425.75</v>
      </c>
      <c r="D112" s="100">
        <v>58861295.5</v>
      </c>
      <c r="E112" s="100">
        <v>238430425.75</v>
      </c>
      <c r="F112" s="100">
        <f>C112-E112</f>
        <v>0</v>
      </c>
      <c r="G112" s="129">
        <f>58908102.19</f>
        <v>58908102.19</v>
      </c>
      <c r="H112" s="155">
        <f>238358036.54</f>
        <v>238358036.54</v>
      </c>
      <c r="I112" s="156"/>
      <c r="J112" s="100">
        <f t="shared" si="6"/>
        <v>72389.21000000834</v>
      </c>
      <c r="K112" s="269">
        <f>238336812.07</f>
        <v>238336812.07</v>
      </c>
      <c r="L112" s="270"/>
      <c r="N112" s="46"/>
    </row>
    <row r="113" spans="1:12" s="3" customFormat="1" ht="15.75" customHeight="1">
      <c r="A113" s="42" t="s">
        <v>62</v>
      </c>
      <c r="B113" s="114">
        <v>2450745443</v>
      </c>
      <c r="C113" s="114">
        <v>2446745443</v>
      </c>
      <c r="D113" s="136"/>
      <c r="E113" s="136"/>
      <c r="F113" s="114">
        <f t="shared" si="5"/>
        <v>2446745443</v>
      </c>
      <c r="G113" s="136"/>
      <c r="H113" s="266"/>
      <c r="I113" s="267"/>
      <c r="J113" s="132">
        <f t="shared" si="6"/>
        <v>2446745443</v>
      </c>
      <c r="K113" s="266"/>
      <c r="L113" s="268"/>
    </row>
    <row r="114" spans="1:12" s="3" customFormat="1" ht="15.75" customHeight="1">
      <c r="A114" s="42" t="s">
        <v>63</v>
      </c>
      <c r="B114" s="114">
        <f>B212</f>
        <v>5479454544</v>
      </c>
      <c r="C114" s="114">
        <f>C212</f>
        <v>6535674557.19</v>
      </c>
      <c r="D114" s="114">
        <f>D212</f>
        <v>1062341586.6299999</v>
      </c>
      <c r="E114" s="114">
        <f>E212</f>
        <v>4298404124.589999</v>
      </c>
      <c r="F114" s="114">
        <f>C114-E114</f>
        <v>2237270432.6000004</v>
      </c>
      <c r="G114" s="114">
        <f>G212</f>
        <v>1090626410.1100001</v>
      </c>
      <c r="H114" s="203">
        <f>H212</f>
        <v>3735177647.6400003</v>
      </c>
      <c r="I114" s="204"/>
      <c r="J114" s="105">
        <f t="shared" si="6"/>
        <v>2800496909.549999</v>
      </c>
      <c r="K114" s="246">
        <f>K212</f>
        <v>3290467572.1</v>
      </c>
      <c r="L114" s="247"/>
    </row>
    <row r="115" spans="1:17" s="3" customFormat="1" ht="15.75" customHeight="1">
      <c r="A115" s="49" t="s">
        <v>29</v>
      </c>
      <c r="B115" s="115">
        <f>B102+B114</f>
        <v>92075164563</v>
      </c>
      <c r="C115" s="115">
        <f>C102+C114</f>
        <v>105152723598.59</v>
      </c>
      <c r="D115" s="128">
        <f>D102+D114</f>
        <v>15444593337.380003</v>
      </c>
      <c r="E115" s="128">
        <f>E102+E114</f>
        <v>65812397416.39001</v>
      </c>
      <c r="F115" s="115">
        <f>C115-E115</f>
        <v>39340326182.19999</v>
      </c>
      <c r="G115" s="115">
        <f>G102+G114</f>
        <v>15622098218.77</v>
      </c>
      <c r="H115" s="255">
        <f>H102+H114</f>
        <v>55914325279.03001</v>
      </c>
      <c r="I115" s="256" t="e">
        <f>I102+#REF!</f>
        <v>#REF!</v>
      </c>
      <c r="J115" s="102">
        <f t="shared" si="6"/>
        <v>49238398319.55999</v>
      </c>
      <c r="K115" s="257">
        <f>K102+K114</f>
        <v>54433081300.49</v>
      </c>
      <c r="L115" s="258" t="e">
        <f>L102+#REF!</f>
        <v>#REF!</v>
      </c>
      <c r="M115" s="50"/>
      <c r="N115" s="50"/>
      <c r="O115" s="50"/>
      <c r="P115" s="50"/>
      <c r="Q115" s="50"/>
    </row>
    <row r="116" spans="1:17" s="3" customFormat="1" ht="15.75" customHeight="1">
      <c r="A116" s="51" t="s">
        <v>79</v>
      </c>
      <c r="B116" s="116">
        <f>B117+B120</f>
        <v>841024020</v>
      </c>
      <c r="C116" s="116">
        <f>C117+C120</f>
        <v>524827702.7</v>
      </c>
      <c r="D116" s="126">
        <f>D117+D120</f>
        <v>73223365.81</v>
      </c>
      <c r="E116" s="116">
        <f>E117+E120</f>
        <v>75854331.25</v>
      </c>
      <c r="F116" s="116">
        <f aca="true" t="shared" si="7" ref="F116:F121">C116-E116</f>
        <v>448973371.45</v>
      </c>
      <c r="G116" s="116">
        <f>G117+G120</f>
        <v>73223365.81</v>
      </c>
      <c r="H116" s="228">
        <f>H117+H120</f>
        <v>75854331.25</v>
      </c>
      <c r="I116" s="229">
        <f>I117+I120</f>
        <v>0</v>
      </c>
      <c r="J116" s="102">
        <f t="shared" si="6"/>
        <v>448973371.45</v>
      </c>
      <c r="K116" s="265">
        <f>K117+K120</f>
        <v>75854331.25</v>
      </c>
      <c r="L116" s="265"/>
      <c r="M116" s="50"/>
      <c r="N116" s="50"/>
      <c r="O116" s="50"/>
      <c r="P116" s="50"/>
      <c r="Q116" s="50"/>
    </row>
    <row r="117" spans="1:17" s="3" customFormat="1" ht="15.75" customHeight="1">
      <c r="A117" s="48" t="s">
        <v>23</v>
      </c>
      <c r="B117" s="117">
        <f>B118+B119</f>
        <v>841024020</v>
      </c>
      <c r="C117" s="117">
        <f>C118+C119</f>
        <v>524827702.7</v>
      </c>
      <c r="D117" s="127">
        <f>D118+D119</f>
        <v>73223365.81</v>
      </c>
      <c r="E117" s="100">
        <f>E118+E119</f>
        <v>75854331.25</v>
      </c>
      <c r="F117" s="100">
        <f t="shared" si="7"/>
        <v>448973371.45</v>
      </c>
      <c r="G117" s="117">
        <f>G118+G119</f>
        <v>73223365.81</v>
      </c>
      <c r="H117" s="157">
        <f>H118+H119</f>
        <v>75854331.25</v>
      </c>
      <c r="I117" s="158">
        <f>I118+I119</f>
        <v>0</v>
      </c>
      <c r="J117" s="100">
        <f aca="true" t="shared" si="8" ref="J117:J122">C117-H117</f>
        <v>448973371.45</v>
      </c>
      <c r="K117" s="254">
        <f>K118+K119</f>
        <v>75854331.25</v>
      </c>
      <c r="L117" s="254"/>
      <c r="M117" s="50"/>
      <c r="N117" s="50"/>
      <c r="O117" s="50"/>
      <c r="P117" s="50"/>
      <c r="Q117" s="50"/>
    </row>
    <row r="118" spans="1:12" s="3" customFormat="1" ht="15.75" customHeight="1">
      <c r="A118" s="48" t="s">
        <v>24</v>
      </c>
      <c r="B118" s="117">
        <v>0</v>
      </c>
      <c r="C118" s="44">
        <v>0</v>
      </c>
      <c r="D118" s="127">
        <f>E118</f>
        <v>0</v>
      </c>
      <c r="E118" s="117">
        <v>0</v>
      </c>
      <c r="F118" s="100">
        <f t="shared" si="7"/>
        <v>0</v>
      </c>
      <c r="G118" s="117">
        <f>H118</f>
        <v>0</v>
      </c>
      <c r="H118" s="251">
        <v>0</v>
      </c>
      <c r="I118" s="252"/>
      <c r="J118" s="100">
        <f t="shared" si="8"/>
        <v>0</v>
      </c>
      <c r="K118" s="254">
        <v>0</v>
      </c>
      <c r="L118" s="254"/>
    </row>
    <row r="119" spans="1:12" s="3" customFormat="1" ht="15.75" customHeight="1">
      <c r="A119" s="48" t="s">
        <v>25</v>
      </c>
      <c r="B119" s="129">
        <v>841024020</v>
      </c>
      <c r="C119" s="129">
        <v>524827702.7</v>
      </c>
      <c r="D119" s="127">
        <v>73223365.81</v>
      </c>
      <c r="E119" s="100">
        <v>75854331.25</v>
      </c>
      <c r="F119" s="100">
        <f t="shared" si="7"/>
        <v>448973371.45</v>
      </c>
      <c r="G119" s="130">
        <f>73223365.81</f>
        <v>73223365.81</v>
      </c>
      <c r="H119" s="155">
        <f>75854331.25</f>
        <v>75854331.25</v>
      </c>
      <c r="I119" s="159"/>
      <c r="J119" s="100">
        <f>C119-H119</f>
        <v>448973371.45</v>
      </c>
      <c r="K119" s="254">
        <f>75854331.25</f>
        <v>75854331.25</v>
      </c>
      <c r="L119" s="254"/>
    </row>
    <row r="120" spans="1:12" s="3" customFormat="1" ht="15.75" customHeight="1">
      <c r="A120" s="48" t="s">
        <v>26</v>
      </c>
      <c r="B120" s="117">
        <f>B121+B122</f>
        <v>0</v>
      </c>
      <c r="C120" s="44">
        <f>C121+C122</f>
        <v>0</v>
      </c>
      <c r="D120" s="21">
        <f>D121+D122</f>
        <v>0</v>
      </c>
      <c r="E120" s="117">
        <f>E121+E122</f>
        <v>0</v>
      </c>
      <c r="F120" s="100">
        <f t="shared" si="7"/>
        <v>0</v>
      </c>
      <c r="G120" s="117">
        <f>G121+G122</f>
        <v>0</v>
      </c>
      <c r="H120" s="251">
        <f>H121+H122</f>
        <v>0</v>
      </c>
      <c r="I120" s="252">
        <f>I121+I122</f>
        <v>0</v>
      </c>
      <c r="J120" s="100">
        <f t="shared" si="8"/>
        <v>0</v>
      </c>
      <c r="K120" s="254">
        <f>K121+K122</f>
        <v>0</v>
      </c>
      <c r="L120" s="254"/>
    </row>
    <row r="121" spans="1:12" s="3" customFormat="1" ht="15.75" customHeight="1">
      <c r="A121" s="48" t="s">
        <v>24</v>
      </c>
      <c r="B121" s="117">
        <v>0</v>
      </c>
      <c r="C121" s="44">
        <v>0</v>
      </c>
      <c r="D121" s="21">
        <f>E121-0</f>
        <v>0</v>
      </c>
      <c r="E121" s="117">
        <v>0</v>
      </c>
      <c r="F121" s="100">
        <f t="shared" si="7"/>
        <v>0</v>
      </c>
      <c r="G121" s="117">
        <f>H121-0</f>
        <v>0</v>
      </c>
      <c r="H121" s="251">
        <v>0</v>
      </c>
      <c r="I121" s="252"/>
      <c r="J121" s="100">
        <f t="shared" si="8"/>
        <v>0</v>
      </c>
      <c r="K121" s="254">
        <v>0</v>
      </c>
      <c r="L121" s="254"/>
    </row>
    <row r="122" spans="1:12" s="3" customFormat="1" ht="15.75" customHeight="1">
      <c r="A122" s="48" t="s">
        <v>25</v>
      </c>
      <c r="B122" s="118">
        <v>0</v>
      </c>
      <c r="C122" s="52">
        <v>0</v>
      </c>
      <c r="D122" s="30">
        <f>E122-0</f>
        <v>0</v>
      </c>
      <c r="E122" s="121">
        <v>0</v>
      </c>
      <c r="F122" s="121">
        <v>0</v>
      </c>
      <c r="G122" s="123">
        <f>H122-0</f>
        <v>0</v>
      </c>
      <c r="H122" s="261">
        <v>0</v>
      </c>
      <c r="I122" s="262"/>
      <c r="J122" s="121">
        <f t="shared" si="8"/>
        <v>0</v>
      </c>
      <c r="K122" s="260">
        <v>0</v>
      </c>
      <c r="L122" s="260"/>
    </row>
    <row r="123" spans="1:13" s="3" customFormat="1" ht="15.75" customHeight="1">
      <c r="A123" s="49" t="s">
        <v>139</v>
      </c>
      <c r="B123" s="109">
        <f aca="true" t="shared" si="9" ref="B123:L123">B115+B116</f>
        <v>92916188583</v>
      </c>
      <c r="C123" s="120">
        <f>C115+C116</f>
        <v>105677551301.29</v>
      </c>
      <c r="D123" s="120">
        <f t="shared" si="9"/>
        <v>15517816703.190002</v>
      </c>
      <c r="E123" s="120">
        <f t="shared" si="9"/>
        <v>65888251747.64001</v>
      </c>
      <c r="F123" s="120">
        <f>F115+F116</f>
        <v>39789299553.64999</v>
      </c>
      <c r="G123" s="120">
        <f t="shared" si="9"/>
        <v>15695321584.58</v>
      </c>
      <c r="H123" s="255">
        <f t="shared" si="9"/>
        <v>55990179610.28001</v>
      </c>
      <c r="I123" s="256" t="e">
        <f t="shared" si="9"/>
        <v>#REF!</v>
      </c>
      <c r="J123" s="122">
        <f t="shared" si="9"/>
        <v>49687371691.00999</v>
      </c>
      <c r="K123" s="257">
        <f t="shared" si="9"/>
        <v>54508935631.74</v>
      </c>
      <c r="L123" s="258" t="e">
        <f t="shared" si="9"/>
        <v>#REF!</v>
      </c>
      <c r="M123" s="53"/>
    </row>
    <row r="124" spans="1:13" s="3" customFormat="1" ht="15.75" customHeight="1">
      <c r="A124" s="49" t="s">
        <v>64</v>
      </c>
      <c r="B124" s="134"/>
      <c r="C124" s="134"/>
      <c r="D124" s="134"/>
      <c r="E124" s="128">
        <f>G91-E123</f>
        <v>2273674901.4799957</v>
      </c>
      <c r="F124" s="134"/>
      <c r="G124" s="134"/>
      <c r="H124" s="263">
        <f>G91-H123</f>
        <v>12171747038.839996</v>
      </c>
      <c r="I124" s="264"/>
      <c r="J124" s="134"/>
      <c r="K124" s="257">
        <f>G91-K123</f>
        <v>13652991017.380005</v>
      </c>
      <c r="L124" s="258"/>
      <c r="M124" s="25"/>
    </row>
    <row r="125" spans="1:12" s="3" customFormat="1" ht="15.75" customHeight="1">
      <c r="A125" s="54" t="s">
        <v>140</v>
      </c>
      <c r="B125" s="119">
        <f aca="true" t="shared" si="10" ref="B125:H125">B123+B124</f>
        <v>92916188583</v>
      </c>
      <c r="C125" s="120">
        <f t="shared" si="10"/>
        <v>105677551301.29</v>
      </c>
      <c r="D125" s="120">
        <f>D123+D124</f>
        <v>15517816703.190002</v>
      </c>
      <c r="E125" s="120">
        <f t="shared" si="10"/>
        <v>68161926649.12</v>
      </c>
      <c r="F125" s="134"/>
      <c r="G125" s="115">
        <f>G123+G124</f>
        <v>15695321584.58</v>
      </c>
      <c r="H125" s="255">
        <f t="shared" si="10"/>
        <v>68161926649.12</v>
      </c>
      <c r="I125" s="256"/>
      <c r="J125" s="134"/>
      <c r="K125" s="257">
        <f>K123+K124</f>
        <v>68161926649.12</v>
      </c>
      <c r="L125" s="258"/>
    </row>
    <row r="126" spans="1:12" s="3" customFormat="1" ht="15.75" customHeight="1">
      <c r="A126" s="54" t="s">
        <v>81</v>
      </c>
      <c r="B126" s="138">
        <v>348245443</v>
      </c>
      <c r="C126" s="150">
        <v>344245443</v>
      </c>
      <c r="D126" s="134"/>
      <c r="E126" s="134"/>
      <c r="F126" s="133">
        <f>C126-E126</f>
        <v>344245443</v>
      </c>
      <c r="G126" s="134"/>
      <c r="H126" s="250"/>
      <c r="I126" s="250"/>
      <c r="J126" s="137">
        <f>C126-H126</f>
        <v>344245443</v>
      </c>
      <c r="K126" s="248"/>
      <c r="L126" s="249"/>
    </row>
    <row r="127" spans="1:13" ht="15.75">
      <c r="A127" s="55"/>
      <c r="B127" s="56"/>
      <c r="C127" s="56"/>
      <c r="D127" s="57"/>
      <c r="E127" s="57"/>
      <c r="F127" s="56"/>
      <c r="G127" s="57"/>
      <c r="H127" s="58"/>
      <c r="I127" s="58"/>
      <c r="J127" s="58"/>
      <c r="K127" s="58"/>
      <c r="L127" s="59" t="s">
        <v>90</v>
      </c>
      <c r="M127" s="152"/>
    </row>
    <row r="128" spans="1:12" ht="15">
      <c r="A128" s="55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</row>
    <row r="129" spans="1:13" ht="12.75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2" ht="15.75">
      <c r="A130" s="35"/>
      <c r="B130" s="36"/>
      <c r="C130" s="36"/>
      <c r="D130" s="37"/>
      <c r="E130" s="37"/>
      <c r="F130" s="36"/>
      <c r="G130" s="38"/>
      <c r="H130" s="39"/>
      <c r="I130" s="39"/>
      <c r="J130" s="39"/>
      <c r="K130" s="39"/>
      <c r="L130" s="40"/>
    </row>
    <row r="131" spans="1:12" ht="15.75">
      <c r="A131" s="35"/>
      <c r="B131" s="36"/>
      <c r="C131" s="36"/>
      <c r="D131" s="37"/>
      <c r="E131" s="37"/>
      <c r="F131" s="36"/>
      <c r="G131" s="38"/>
      <c r="H131" s="39"/>
      <c r="I131" s="39"/>
      <c r="J131" s="39"/>
      <c r="K131" s="39"/>
      <c r="L131" s="59" t="s">
        <v>30</v>
      </c>
    </row>
    <row r="132" spans="1:12" ht="16.5">
      <c r="A132" s="201" t="str">
        <f>A6</f>
        <v>GOVERNO DO ESTADO DO RIO DE JANEIRO</v>
      </c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</row>
    <row r="133" spans="1:12" ht="16.5">
      <c r="A133" s="202" t="str">
        <f>A7</f>
        <v>RELATÓRIO RESUMIDO DA EXECUÇÃO ORÇAMENTÁRIA</v>
      </c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</row>
    <row r="134" spans="1:12" ht="16.5">
      <c r="A134" s="253" t="str">
        <f>A8</f>
        <v>BALANÇO ORÇAMENTÁRIO</v>
      </c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</row>
    <row r="135" spans="1:12" ht="16.5">
      <c r="A135" s="201" t="str">
        <f>A9</f>
        <v>ORÇAMENTOS FISCAL E DA SEGURIDADE SOCIAL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</row>
    <row r="136" spans="1:12" ht="16.5">
      <c r="A136" s="202" t="str">
        <f>A10</f>
        <v>JANEIRO A AGOSTO 2022/BIMESTRE JULHO - AGOSTO</v>
      </c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</row>
    <row r="137" spans="1:12" ht="16.5">
      <c r="A137" s="60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</row>
    <row r="138" spans="1:12" ht="15.75">
      <c r="A138" s="61"/>
      <c r="B138" s="61"/>
      <c r="C138" s="81"/>
      <c r="D138" s="81"/>
      <c r="E138" s="81"/>
      <c r="F138" s="81"/>
      <c r="G138" s="81"/>
      <c r="H138" s="81"/>
      <c r="I138" s="81"/>
      <c r="J138" s="62"/>
      <c r="K138" s="62"/>
      <c r="L138" s="99" t="str">
        <f>L12</f>
        <v>Emissão: 21/09/2022</v>
      </c>
    </row>
    <row r="139" spans="1:12" ht="15.75">
      <c r="A139" s="63" t="str">
        <f>A13</f>
        <v>RREO - Anexo 1 (LRF, Art. 52, inciso I, alíneas "a" e "b" do inciso II e §1º)</v>
      </c>
      <c r="B139" s="64"/>
      <c r="C139" s="98"/>
      <c r="D139" s="98"/>
      <c r="E139" s="98"/>
      <c r="F139" s="98"/>
      <c r="G139" s="98"/>
      <c r="H139" s="98"/>
      <c r="I139" s="62"/>
      <c r="J139" s="65"/>
      <c r="K139" s="66"/>
      <c r="L139" s="65">
        <v>1</v>
      </c>
    </row>
    <row r="140" spans="1:12" ht="15.75">
      <c r="A140" s="240" t="s">
        <v>4</v>
      </c>
      <c r="B140" s="241"/>
      <c r="C140" s="230" t="s">
        <v>66</v>
      </c>
      <c r="D140" s="77" t="s">
        <v>80</v>
      </c>
      <c r="E140" s="233" t="s">
        <v>3</v>
      </c>
      <c r="F140" s="234"/>
      <c r="G140" s="234"/>
      <c r="H140" s="234"/>
      <c r="I140" s="235"/>
      <c r="J140" s="236" t="s">
        <v>67</v>
      </c>
      <c r="K140" s="259"/>
      <c r="L140" s="259"/>
    </row>
    <row r="141" spans="1:12" ht="15.75">
      <c r="A141" s="242"/>
      <c r="B141" s="243"/>
      <c r="C141" s="231"/>
      <c r="D141" s="78" t="s">
        <v>6</v>
      </c>
      <c r="E141" s="77" t="s">
        <v>7</v>
      </c>
      <c r="F141" s="79" t="s">
        <v>8</v>
      </c>
      <c r="G141" s="236" t="s">
        <v>9</v>
      </c>
      <c r="H141" s="237"/>
      <c r="I141" s="79" t="s">
        <v>8</v>
      </c>
      <c r="J141" s="238"/>
      <c r="K141" s="239"/>
      <c r="L141" s="239"/>
    </row>
    <row r="142" spans="1:12" ht="15.75">
      <c r="A142" s="244"/>
      <c r="B142" s="245"/>
      <c r="C142" s="232"/>
      <c r="D142" s="80" t="s">
        <v>10</v>
      </c>
      <c r="E142" s="80" t="s">
        <v>11</v>
      </c>
      <c r="F142" s="80" t="s">
        <v>12</v>
      </c>
      <c r="G142" s="221" t="s">
        <v>68</v>
      </c>
      <c r="H142" s="222"/>
      <c r="I142" s="80" t="s">
        <v>13</v>
      </c>
      <c r="J142" s="221" t="s">
        <v>14</v>
      </c>
      <c r="K142" s="223"/>
      <c r="L142" s="223"/>
    </row>
    <row r="143" spans="1:12" ht="15.75">
      <c r="A143" s="224" t="s">
        <v>51</v>
      </c>
      <c r="B143" s="225"/>
      <c r="C143" s="101">
        <f>C144+C184</f>
        <v>5479454544</v>
      </c>
      <c r="D143" s="102">
        <f>D144+D184</f>
        <v>5552222569.490001</v>
      </c>
      <c r="E143" s="103">
        <f>E144+E184</f>
        <v>982954234.6600001</v>
      </c>
      <c r="F143" s="16">
        <f aca="true" t="shared" si="11" ref="F143:F149">(E143/D143)*100</f>
        <v>17.7037973956849</v>
      </c>
      <c r="G143" s="226">
        <f>G144+G184</f>
        <v>3521465748.52</v>
      </c>
      <c r="H143" s="227"/>
      <c r="I143" s="16">
        <f>(G143/D143)*100</f>
        <v>63.42443416931436</v>
      </c>
      <c r="J143" s="228">
        <f aca="true" t="shared" si="12" ref="J143:J158">D143-G143</f>
        <v>2030756820.9700007</v>
      </c>
      <c r="K143" s="229"/>
      <c r="L143" s="229"/>
    </row>
    <row r="144" spans="1:12" ht="15.75">
      <c r="A144" s="216" t="s">
        <v>31</v>
      </c>
      <c r="B144" s="216"/>
      <c r="C144" s="104">
        <f>C145+C149+C154+C162+C163+C164+C170+C178</f>
        <v>5479454544</v>
      </c>
      <c r="D144" s="105">
        <f>D145+D149+D154+D162+D163+D164+D170+D178</f>
        <v>5552173688.18</v>
      </c>
      <c r="E144" s="103">
        <f>E145+E149+E154+E162+E163+E164+E170+E178</f>
        <v>982934019.6800001</v>
      </c>
      <c r="F144" s="18">
        <f t="shared" si="11"/>
        <v>17.703589168555087</v>
      </c>
      <c r="G144" s="217">
        <f>G145+G149+G154+G162+G163+G164+G170+G178</f>
        <v>3521401469.75</v>
      </c>
      <c r="H144" s="218"/>
      <c r="I144" s="18">
        <f>(G144/D144)*100</f>
        <v>63.423834835115066</v>
      </c>
      <c r="J144" s="219">
        <f t="shared" si="12"/>
        <v>2030772218.4300003</v>
      </c>
      <c r="K144" s="220"/>
      <c r="L144" s="220"/>
    </row>
    <row r="145" spans="1:12" ht="15.75">
      <c r="A145" s="183" t="s">
        <v>127</v>
      </c>
      <c r="B145" s="183"/>
      <c r="C145" s="106">
        <f>C146+C147+C148</f>
        <v>0</v>
      </c>
      <c r="D145" s="100">
        <f>D146+D147+D148</f>
        <v>0</v>
      </c>
      <c r="E145" s="107">
        <f>E146+E147+E148</f>
        <v>0</v>
      </c>
      <c r="F145" s="23">
        <v>0</v>
      </c>
      <c r="G145" s="212">
        <f>G146+G147+G148</f>
        <v>0</v>
      </c>
      <c r="H145" s="213" t="e">
        <f>H146+H147+#REF!</f>
        <v>#REF!</v>
      </c>
      <c r="I145" s="23">
        <v>0</v>
      </c>
      <c r="J145" s="157">
        <f t="shared" si="12"/>
        <v>0</v>
      </c>
      <c r="K145" s="158"/>
      <c r="L145" s="158"/>
    </row>
    <row r="146" spans="1:12" ht="15.75">
      <c r="A146" s="183" t="s">
        <v>32</v>
      </c>
      <c r="B146" s="183"/>
      <c r="C146" s="106">
        <v>0</v>
      </c>
      <c r="D146" s="100">
        <v>0</v>
      </c>
      <c r="E146" s="107">
        <f>G146</f>
        <v>0</v>
      </c>
      <c r="F146" s="23">
        <v>0</v>
      </c>
      <c r="G146" s="180">
        <v>0</v>
      </c>
      <c r="H146" s="181"/>
      <c r="I146" s="23">
        <v>0</v>
      </c>
      <c r="J146" s="157">
        <f t="shared" si="12"/>
        <v>0</v>
      </c>
      <c r="K146" s="158"/>
      <c r="L146" s="158"/>
    </row>
    <row r="147" spans="1:12" ht="15.75">
      <c r="A147" s="183" t="s">
        <v>33</v>
      </c>
      <c r="B147" s="183"/>
      <c r="C147" s="106">
        <v>0</v>
      </c>
      <c r="D147" s="100">
        <v>0</v>
      </c>
      <c r="E147" s="107">
        <f>G147</f>
        <v>0</v>
      </c>
      <c r="F147" s="23">
        <v>0</v>
      </c>
      <c r="G147" s="180">
        <v>0</v>
      </c>
      <c r="H147" s="181"/>
      <c r="I147" s="23">
        <v>0</v>
      </c>
      <c r="J147" s="157">
        <f t="shared" si="12"/>
        <v>0</v>
      </c>
      <c r="K147" s="158"/>
      <c r="L147" s="158"/>
    </row>
    <row r="148" spans="1:12" ht="15.75">
      <c r="A148" s="211" t="s">
        <v>129</v>
      </c>
      <c r="B148" s="211"/>
      <c r="C148" s="106">
        <v>0</v>
      </c>
      <c r="D148" s="100">
        <v>0</v>
      </c>
      <c r="E148" s="107">
        <f>G148</f>
        <v>0</v>
      </c>
      <c r="F148" s="23">
        <v>0</v>
      </c>
      <c r="G148" s="180">
        <v>0</v>
      </c>
      <c r="H148" s="181"/>
      <c r="I148" s="23">
        <v>0</v>
      </c>
      <c r="J148" s="157">
        <f>D148-G148</f>
        <v>0</v>
      </c>
      <c r="K148" s="158"/>
      <c r="L148" s="158"/>
    </row>
    <row r="149" spans="1:12" ht="15.75">
      <c r="A149" s="183" t="s">
        <v>132</v>
      </c>
      <c r="B149" s="183"/>
      <c r="C149" s="106">
        <f>C151+C150+C152+C153</f>
        <v>3117957389</v>
      </c>
      <c r="D149" s="100">
        <f>D151+D150+D152+D153</f>
        <v>3117957389</v>
      </c>
      <c r="E149" s="107">
        <f>E151+E150+E152+E153</f>
        <v>528612817.4499998</v>
      </c>
      <c r="F149" s="23">
        <f t="shared" si="11"/>
        <v>16.953817884584303</v>
      </c>
      <c r="G149" s="212">
        <f>G150+G151+G152+G153</f>
        <v>2068670128.11</v>
      </c>
      <c r="H149" s="213"/>
      <c r="I149" s="23">
        <f>(G149/D149)*100</f>
        <v>66.34696597869382</v>
      </c>
      <c r="J149" s="157">
        <f t="shared" si="12"/>
        <v>1049287260.8900001</v>
      </c>
      <c r="K149" s="158"/>
      <c r="L149" s="158"/>
    </row>
    <row r="150" spans="1:12" ht="15.75">
      <c r="A150" s="183" t="s">
        <v>34</v>
      </c>
      <c r="B150" s="183"/>
      <c r="C150" s="106">
        <v>3117957389</v>
      </c>
      <c r="D150" s="100">
        <v>3117957389</v>
      </c>
      <c r="E150" s="107">
        <f>G150-1540057310.66</f>
        <v>528612817.4499998</v>
      </c>
      <c r="F150" s="23">
        <f aca="true" t="shared" si="13" ref="F150:F155">(E150/D150)*100</f>
        <v>16.953817884584303</v>
      </c>
      <c r="G150" s="180">
        <v>2068670128.11</v>
      </c>
      <c r="H150" s="181"/>
      <c r="I150" s="23">
        <f>(G150/D150)*100</f>
        <v>66.34696597869382</v>
      </c>
      <c r="J150" s="157">
        <f t="shared" si="12"/>
        <v>1049287260.8900001</v>
      </c>
      <c r="K150" s="158"/>
      <c r="L150" s="158"/>
    </row>
    <row r="151" spans="1:12" ht="15.75">
      <c r="A151" s="183" t="s">
        <v>89</v>
      </c>
      <c r="B151" s="183"/>
      <c r="C151" s="106">
        <v>0</v>
      </c>
      <c r="D151" s="100">
        <v>0</v>
      </c>
      <c r="E151" s="107">
        <f>G151</f>
        <v>0</v>
      </c>
      <c r="F151" s="23">
        <v>0</v>
      </c>
      <c r="G151" s="180">
        <v>0</v>
      </c>
      <c r="H151" s="181"/>
      <c r="I151" s="23">
        <v>0</v>
      </c>
      <c r="J151" s="157">
        <f t="shared" si="12"/>
        <v>0</v>
      </c>
      <c r="K151" s="158"/>
      <c r="L151" s="158"/>
    </row>
    <row r="152" spans="1:12" ht="15.75">
      <c r="A152" s="183" t="s">
        <v>107</v>
      </c>
      <c r="B152" s="183"/>
      <c r="C152" s="106">
        <v>0</v>
      </c>
      <c r="D152" s="100">
        <v>0</v>
      </c>
      <c r="E152" s="107">
        <f>G152</f>
        <v>0</v>
      </c>
      <c r="F152" s="23">
        <v>0</v>
      </c>
      <c r="G152" s="180">
        <v>0</v>
      </c>
      <c r="H152" s="181"/>
      <c r="I152" s="23">
        <v>0</v>
      </c>
      <c r="J152" s="155">
        <f t="shared" si="12"/>
        <v>0</v>
      </c>
      <c r="K152" s="159"/>
      <c r="L152" s="159"/>
    </row>
    <row r="153" spans="1:12" ht="15.75">
      <c r="A153" s="183" t="s">
        <v>108</v>
      </c>
      <c r="B153" s="183"/>
      <c r="C153" s="106">
        <v>0</v>
      </c>
      <c r="D153" s="100">
        <v>0</v>
      </c>
      <c r="E153" s="107">
        <f>G153</f>
        <v>0</v>
      </c>
      <c r="F153" s="23">
        <v>0</v>
      </c>
      <c r="G153" s="180">
        <v>0</v>
      </c>
      <c r="H153" s="181"/>
      <c r="I153" s="23">
        <v>0</v>
      </c>
      <c r="J153" s="155">
        <f t="shared" si="12"/>
        <v>0</v>
      </c>
      <c r="K153" s="159"/>
      <c r="L153" s="159"/>
    </row>
    <row r="154" spans="1:12" ht="15.75">
      <c r="A154" s="183" t="s">
        <v>35</v>
      </c>
      <c r="B154" s="183"/>
      <c r="C154" s="106">
        <f>SUM(C155:C161)</f>
        <v>14838478</v>
      </c>
      <c r="D154" s="100">
        <f>SUM(D155:D161)</f>
        <v>14838478</v>
      </c>
      <c r="E154" s="107">
        <f>SUM(E155:E161)</f>
        <v>3276265.7200000007</v>
      </c>
      <c r="F154" s="23">
        <f t="shared" si="13"/>
        <v>22.07952675469816</v>
      </c>
      <c r="G154" s="212">
        <f>SUM(G155:H161)</f>
        <v>11853278.41</v>
      </c>
      <c r="H154" s="213">
        <f>SUM(H155:H161)</f>
        <v>0</v>
      </c>
      <c r="I154" s="23">
        <f>(G154/D154)*100</f>
        <v>79.8820364864914</v>
      </c>
      <c r="J154" s="157">
        <f t="shared" si="12"/>
        <v>2985199.59</v>
      </c>
      <c r="K154" s="158"/>
      <c r="L154" s="158"/>
    </row>
    <row r="155" spans="1:12" ht="15.75">
      <c r="A155" s="183" t="s">
        <v>109</v>
      </c>
      <c r="B155" s="183"/>
      <c r="C155" s="106">
        <v>14838478</v>
      </c>
      <c r="D155" s="100">
        <v>14838478</v>
      </c>
      <c r="E155" s="107">
        <f>G155-8576934.43</f>
        <v>3276265.7200000007</v>
      </c>
      <c r="F155" s="23">
        <f t="shared" si="13"/>
        <v>22.07952675469816</v>
      </c>
      <c r="G155" s="180">
        <v>11853200.15</v>
      </c>
      <c r="H155" s="181"/>
      <c r="I155" s="23">
        <f>(G155/D155)*100</f>
        <v>79.88150907390906</v>
      </c>
      <c r="J155" s="157">
        <f t="shared" si="12"/>
        <v>2985277.8499999996</v>
      </c>
      <c r="K155" s="158"/>
      <c r="L155" s="158"/>
    </row>
    <row r="156" spans="1:12" ht="15.75">
      <c r="A156" s="183" t="s">
        <v>110</v>
      </c>
      <c r="B156" s="183"/>
      <c r="C156" s="106">
        <v>0</v>
      </c>
      <c r="D156" s="100">
        <v>0</v>
      </c>
      <c r="E156" s="107">
        <f aca="true" t="shared" si="14" ref="E156:E163">G156</f>
        <v>0</v>
      </c>
      <c r="F156" s="23">
        <v>0</v>
      </c>
      <c r="G156" s="180">
        <v>0</v>
      </c>
      <c r="H156" s="181"/>
      <c r="I156" s="23">
        <v>0</v>
      </c>
      <c r="J156" s="157">
        <f t="shared" si="12"/>
        <v>0</v>
      </c>
      <c r="K156" s="158"/>
      <c r="L156" s="158"/>
    </row>
    <row r="157" spans="1:12" ht="15.75">
      <c r="A157" s="183" t="s">
        <v>113</v>
      </c>
      <c r="B157" s="183"/>
      <c r="C157" s="106">
        <v>0</v>
      </c>
      <c r="D157" s="100">
        <v>0</v>
      </c>
      <c r="E157" s="107">
        <f t="shared" si="14"/>
        <v>0</v>
      </c>
      <c r="F157" s="23">
        <v>0</v>
      </c>
      <c r="G157" s="180">
        <v>0</v>
      </c>
      <c r="H157" s="181"/>
      <c r="I157" s="23">
        <v>0</v>
      </c>
      <c r="J157" s="157">
        <f t="shared" si="12"/>
        <v>0</v>
      </c>
      <c r="K157" s="158"/>
      <c r="L157" s="158"/>
    </row>
    <row r="158" spans="1:12" ht="15.75">
      <c r="A158" s="183" t="s">
        <v>111</v>
      </c>
      <c r="B158" s="183"/>
      <c r="C158" s="106">
        <v>0</v>
      </c>
      <c r="D158" s="100">
        <v>0</v>
      </c>
      <c r="E158" s="107">
        <f>G158-78.26</f>
        <v>0</v>
      </c>
      <c r="F158" s="23">
        <v>0</v>
      </c>
      <c r="G158" s="180">
        <v>78.26</v>
      </c>
      <c r="H158" s="181"/>
      <c r="I158" s="23">
        <v>0</v>
      </c>
      <c r="J158" s="157">
        <f t="shared" si="12"/>
        <v>-78.26</v>
      </c>
      <c r="K158" s="158"/>
      <c r="L158" s="158"/>
    </row>
    <row r="159" spans="1:12" ht="15" customHeight="1">
      <c r="A159" s="183" t="s">
        <v>112</v>
      </c>
      <c r="B159" s="183"/>
      <c r="C159" s="106">
        <v>0</v>
      </c>
      <c r="D159" s="100">
        <v>0</v>
      </c>
      <c r="E159" s="107">
        <f t="shared" si="14"/>
        <v>0</v>
      </c>
      <c r="F159" s="23">
        <v>0</v>
      </c>
      <c r="G159" s="180">
        <v>0</v>
      </c>
      <c r="H159" s="181"/>
      <c r="I159" s="23">
        <v>0</v>
      </c>
      <c r="J159" s="157">
        <f aca="true" t="shared" si="15" ref="J159:J177">D159-G159</f>
        <v>0</v>
      </c>
      <c r="K159" s="158"/>
      <c r="L159" s="158"/>
    </row>
    <row r="160" spans="1:18" ht="15.75">
      <c r="A160" s="183" t="s">
        <v>115</v>
      </c>
      <c r="B160" s="183"/>
      <c r="C160" s="106">
        <v>0</v>
      </c>
      <c r="D160" s="100">
        <v>0</v>
      </c>
      <c r="E160" s="107">
        <f t="shared" si="14"/>
        <v>0</v>
      </c>
      <c r="F160" s="23">
        <v>0</v>
      </c>
      <c r="G160" s="180">
        <v>0</v>
      </c>
      <c r="H160" s="181"/>
      <c r="I160" s="23">
        <v>0</v>
      </c>
      <c r="J160" s="157">
        <f t="shared" si="15"/>
        <v>0</v>
      </c>
      <c r="K160" s="158"/>
      <c r="L160" s="158"/>
      <c r="N160"/>
      <c r="O160"/>
      <c r="P160"/>
      <c r="Q160"/>
      <c r="R160"/>
    </row>
    <row r="161" spans="1:18" ht="15.75" customHeight="1">
      <c r="A161" s="183" t="s">
        <v>114</v>
      </c>
      <c r="B161" s="183"/>
      <c r="C161" s="106">
        <v>0</v>
      </c>
      <c r="D161" s="100">
        <v>0</v>
      </c>
      <c r="E161" s="107">
        <f>G161-0</f>
        <v>0</v>
      </c>
      <c r="F161" s="23">
        <v>0</v>
      </c>
      <c r="G161" s="180">
        <v>0</v>
      </c>
      <c r="H161" s="181"/>
      <c r="I161" s="23">
        <v>0</v>
      </c>
      <c r="J161" s="157">
        <f t="shared" si="15"/>
        <v>0</v>
      </c>
      <c r="K161" s="158"/>
      <c r="L161" s="158"/>
      <c r="N161"/>
      <c r="O161"/>
      <c r="P161"/>
      <c r="Q161"/>
      <c r="R161"/>
    </row>
    <row r="162" spans="1:18" ht="15.75">
      <c r="A162" s="183" t="s">
        <v>36</v>
      </c>
      <c r="B162" s="183"/>
      <c r="C162" s="106">
        <v>0</v>
      </c>
      <c r="D162" s="100">
        <v>0</v>
      </c>
      <c r="E162" s="107">
        <f t="shared" si="14"/>
        <v>0</v>
      </c>
      <c r="F162" s="23">
        <v>0</v>
      </c>
      <c r="G162" s="212">
        <v>0</v>
      </c>
      <c r="H162" s="213"/>
      <c r="I162" s="23">
        <v>0</v>
      </c>
      <c r="J162" s="157">
        <f t="shared" si="15"/>
        <v>0</v>
      </c>
      <c r="K162" s="158"/>
      <c r="L162" s="158"/>
      <c r="N162"/>
      <c r="O162"/>
      <c r="P162"/>
      <c r="Q162"/>
      <c r="R162"/>
    </row>
    <row r="163" spans="1:12" ht="15.75">
      <c r="A163" s="183" t="s">
        <v>37</v>
      </c>
      <c r="B163" s="183"/>
      <c r="C163" s="106">
        <v>0</v>
      </c>
      <c r="D163" s="100">
        <v>0</v>
      </c>
      <c r="E163" s="107">
        <f t="shared" si="14"/>
        <v>0</v>
      </c>
      <c r="F163" s="23">
        <v>0</v>
      </c>
      <c r="G163" s="212">
        <v>0</v>
      </c>
      <c r="H163" s="213"/>
      <c r="I163" s="23">
        <v>0</v>
      </c>
      <c r="J163" s="157">
        <f t="shared" si="15"/>
        <v>0</v>
      </c>
      <c r="K163" s="158"/>
      <c r="L163" s="158"/>
    </row>
    <row r="164" spans="1:12" ht="15.75">
      <c r="A164" s="183" t="s">
        <v>38</v>
      </c>
      <c r="B164" s="183"/>
      <c r="C164" s="106">
        <f>SUM(C165:C169)</f>
        <v>1517539893</v>
      </c>
      <c r="D164" s="100">
        <f>SUM(D165:D169)</f>
        <v>1517539893</v>
      </c>
      <c r="E164" s="107">
        <f>SUM(E165:E169)</f>
        <v>340932059.0900001</v>
      </c>
      <c r="F164" s="23">
        <f aca="true" t="shared" si="16" ref="F164:F172">(E164/D164)*100</f>
        <v>22.466101923424038</v>
      </c>
      <c r="G164" s="212">
        <f>SUM(G165:H169)</f>
        <v>1018795880.07</v>
      </c>
      <c r="H164" s="213"/>
      <c r="I164" s="23">
        <f aca="true" t="shared" si="17" ref="I164:I172">(G164/D164)*100</f>
        <v>67.13470168194122</v>
      </c>
      <c r="J164" s="157">
        <f t="shared" si="15"/>
        <v>498744012.92999995</v>
      </c>
      <c r="K164" s="158"/>
      <c r="L164" s="158"/>
    </row>
    <row r="165" spans="1:12" ht="15.75">
      <c r="A165" s="183" t="s">
        <v>102</v>
      </c>
      <c r="B165" s="183"/>
      <c r="C165" s="106">
        <v>323832</v>
      </c>
      <c r="D165" s="100">
        <v>323832</v>
      </c>
      <c r="E165" s="107">
        <f>G165-4942406.43</f>
        <v>2833426.42</v>
      </c>
      <c r="F165" s="23">
        <f t="shared" si="16"/>
        <v>874.9680142790089</v>
      </c>
      <c r="G165" s="180">
        <v>7775832.85</v>
      </c>
      <c r="H165" s="181"/>
      <c r="I165" s="23">
        <f t="shared" si="17"/>
        <v>2401.193473776526</v>
      </c>
      <c r="J165" s="157">
        <f t="shared" si="15"/>
        <v>-7452000.85</v>
      </c>
      <c r="K165" s="158"/>
      <c r="L165" s="158"/>
    </row>
    <row r="166" spans="1:12" ht="15.75">
      <c r="A166" s="183" t="s">
        <v>103</v>
      </c>
      <c r="B166" s="183"/>
      <c r="C166" s="106">
        <v>0</v>
      </c>
      <c r="D166" s="100">
        <v>0</v>
      </c>
      <c r="E166" s="107">
        <f>G166</f>
        <v>0</v>
      </c>
      <c r="F166" s="23">
        <v>0</v>
      </c>
      <c r="G166" s="180">
        <v>0</v>
      </c>
      <c r="H166" s="181"/>
      <c r="I166" s="23">
        <v>0</v>
      </c>
      <c r="J166" s="155">
        <f t="shared" si="15"/>
        <v>0</v>
      </c>
      <c r="K166" s="159"/>
      <c r="L166" s="159"/>
    </row>
    <row r="167" spans="1:12" ht="15.75">
      <c r="A167" s="183" t="s">
        <v>104</v>
      </c>
      <c r="B167" s="183"/>
      <c r="C167" s="106">
        <v>0</v>
      </c>
      <c r="D167" s="100">
        <v>0</v>
      </c>
      <c r="E167" s="107">
        <f>G167-593206821.38</f>
        <v>318622932.44000006</v>
      </c>
      <c r="F167" s="23">
        <v>0</v>
      </c>
      <c r="G167" s="180">
        <v>911829753.82</v>
      </c>
      <c r="H167" s="181"/>
      <c r="I167" s="23">
        <v>0</v>
      </c>
      <c r="J167" s="155">
        <f t="shared" si="15"/>
        <v>-911829753.82</v>
      </c>
      <c r="K167" s="159"/>
      <c r="L167" s="159"/>
    </row>
    <row r="168" spans="1:12" ht="15.75">
      <c r="A168" s="183" t="s">
        <v>105</v>
      </c>
      <c r="B168" s="183"/>
      <c r="C168" s="106">
        <v>0</v>
      </c>
      <c r="D168" s="100">
        <v>0</v>
      </c>
      <c r="E168" s="107">
        <f>G168</f>
        <v>0</v>
      </c>
      <c r="F168" s="23">
        <v>0</v>
      </c>
      <c r="G168" s="180">
        <v>0</v>
      </c>
      <c r="H168" s="181"/>
      <c r="I168" s="23">
        <v>0</v>
      </c>
      <c r="J168" s="155">
        <f t="shared" si="15"/>
        <v>0</v>
      </c>
      <c r="K168" s="159"/>
      <c r="L168" s="159"/>
    </row>
    <row r="169" spans="1:12" ht="15.75">
      <c r="A169" s="183" t="s">
        <v>106</v>
      </c>
      <c r="B169" s="183"/>
      <c r="C169" s="106">
        <v>1517216061</v>
      </c>
      <c r="D169" s="100">
        <v>1517216061</v>
      </c>
      <c r="E169" s="107">
        <f>G169-79714593.17</f>
        <v>19475700.230000004</v>
      </c>
      <c r="F169" s="23">
        <f t="shared" si="16"/>
        <v>1.2836471172842405</v>
      </c>
      <c r="G169" s="180">
        <v>99190293.4</v>
      </c>
      <c r="H169" s="181"/>
      <c r="I169" s="23">
        <f t="shared" si="17"/>
        <v>6.537651159230644</v>
      </c>
      <c r="J169" s="155">
        <f t="shared" si="15"/>
        <v>1418025767.6</v>
      </c>
      <c r="K169" s="159"/>
      <c r="L169" s="159"/>
    </row>
    <row r="170" spans="1:12" ht="15.75">
      <c r="A170" s="183" t="s">
        <v>39</v>
      </c>
      <c r="B170" s="183"/>
      <c r="C170" s="106">
        <f>SUM(C171:C177)</f>
        <v>118554828</v>
      </c>
      <c r="D170" s="100">
        <f>SUM(D171:D177)</f>
        <v>118554828</v>
      </c>
      <c r="E170" s="107">
        <f>SUM(E171:E177)</f>
        <v>0</v>
      </c>
      <c r="F170" s="23">
        <f t="shared" si="16"/>
        <v>0</v>
      </c>
      <c r="G170" s="212">
        <f>SUM(G171:H177)</f>
        <v>0</v>
      </c>
      <c r="H170" s="213">
        <f>SUM(H171:H175)</f>
        <v>0</v>
      </c>
      <c r="I170" s="23">
        <f t="shared" si="17"/>
        <v>0</v>
      </c>
      <c r="J170" s="157">
        <f t="shared" si="15"/>
        <v>118554828</v>
      </c>
      <c r="K170" s="158"/>
      <c r="L170" s="158"/>
    </row>
    <row r="171" spans="1:12" ht="15.75">
      <c r="A171" s="183" t="s">
        <v>97</v>
      </c>
      <c r="B171" s="183"/>
      <c r="C171" s="106">
        <v>0</v>
      </c>
      <c r="D171" s="100">
        <v>0</v>
      </c>
      <c r="E171" s="107">
        <f aca="true" t="shared" si="18" ref="E171:E177">G171</f>
        <v>0</v>
      </c>
      <c r="F171" s="23">
        <v>0</v>
      </c>
      <c r="G171" s="180">
        <v>0</v>
      </c>
      <c r="H171" s="181"/>
      <c r="I171" s="23">
        <v>0</v>
      </c>
      <c r="J171" s="157">
        <f t="shared" si="15"/>
        <v>0</v>
      </c>
      <c r="K171" s="158"/>
      <c r="L171" s="158"/>
    </row>
    <row r="172" spans="1:12" ht="15.75">
      <c r="A172" s="183" t="s">
        <v>98</v>
      </c>
      <c r="B172" s="183"/>
      <c r="C172" s="106">
        <v>118554828</v>
      </c>
      <c r="D172" s="100">
        <v>118554828</v>
      </c>
      <c r="E172" s="107">
        <f>G172-0</f>
        <v>0</v>
      </c>
      <c r="F172" s="23">
        <f t="shared" si="16"/>
        <v>0</v>
      </c>
      <c r="G172" s="180">
        <v>0</v>
      </c>
      <c r="H172" s="181"/>
      <c r="I172" s="23">
        <f t="shared" si="17"/>
        <v>0</v>
      </c>
      <c r="J172" s="157">
        <f t="shared" si="15"/>
        <v>118554828</v>
      </c>
      <c r="K172" s="158"/>
      <c r="L172" s="158"/>
    </row>
    <row r="173" spans="1:12" ht="15.75">
      <c r="A173" s="183" t="s">
        <v>99</v>
      </c>
      <c r="B173" s="183"/>
      <c r="C173" s="106">
        <v>0</v>
      </c>
      <c r="D173" s="100">
        <v>0</v>
      </c>
      <c r="E173" s="107">
        <f t="shared" si="18"/>
        <v>0</v>
      </c>
      <c r="F173" s="23">
        <v>0</v>
      </c>
      <c r="G173" s="180">
        <v>0</v>
      </c>
      <c r="H173" s="181"/>
      <c r="I173" s="23">
        <v>0</v>
      </c>
      <c r="J173" s="157">
        <f t="shared" si="15"/>
        <v>0</v>
      </c>
      <c r="K173" s="158"/>
      <c r="L173" s="158"/>
    </row>
    <row r="174" spans="1:12" ht="15.75">
      <c r="A174" s="160" t="s">
        <v>40</v>
      </c>
      <c r="B174" s="160"/>
      <c r="C174" s="142">
        <v>0</v>
      </c>
      <c r="D174" s="143">
        <v>0</v>
      </c>
      <c r="E174" s="110">
        <f t="shared" si="18"/>
        <v>0</v>
      </c>
      <c r="F174" s="144">
        <v>0</v>
      </c>
      <c r="G174" s="165">
        <v>0</v>
      </c>
      <c r="H174" s="166"/>
      <c r="I174" s="144">
        <v>0</v>
      </c>
      <c r="J174" s="167">
        <f t="shared" si="15"/>
        <v>0</v>
      </c>
      <c r="K174" s="168"/>
      <c r="L174" s="168"/>
    </row>
    <row r="175" spans="1:12" ht="15.75">
      <c r="A175" s="160" t="s">
        <v>82</v>
      </c>
      <c r="B175" s="160"/>
      <c r="C175" s="142">
        <v>0</v>
      </c>
      <c r="D175" s="143">
        <v>0</v>
      </c>
      <c r="E175" s="110">
        <f t="shared" si="18"/>
        <v>0</v>
      </c>
      <c r="F175" s="144">
        <v>0</v>
      </c>
      <c r="G175" s="165">
        <v>0</v>
      </c>
      <c r="H175" s="166"/>
      <c r="I175" s="144">
        <v>0</v>
      </c>
      <c r="J175" s="167">
        <f t="shared" si="15"/>
        <v>0</v>
      </c>
      <c r="K175" s="168"/>
      <c r="L175" s="168"/>
    </row>
    <row r="176" spans="1:12" ht="15.75">
      <c r="A176" s="160" t="s">
        <v>41</v>
      </c>
      <c r="B176" s="160"/>
      <c r="C176" s="142">
        <v>0</v>
      </c>
      <c r="D176" s="143">
        <v>0</v>
      </c>
      <c r="E176" s="110">
        <f t="shared" si="18"/>
        <v>0</v>
      </c>
      <c r="F176" s="144">
        <v>0</v>
      </c>
      <c r="G176" s="165">
        <v>0</v>
      </c>
      <c r="H176" s="166"/>
      <c r="I176" s="144">
        <v>0</v>
      </c>
      <c r="J176" s="161">
        <f t="shared" si="15"/>
        <v>0</v>
      </c>
      <c r="K176" s="162"/>
      <c r="L176" s="162"/>
    </row>
    <row r="177" spans="1:14" ht="15.75">
      <c r="A177" s="160" t="s">
        <v>148</v>
      </c>
      <c r="B177" s="160"/>
      <c r="C177" s="142">
        <v>0</v>
      </c>
      <c r="D177" s="143">
        <v>0</v>
      </c>
      <c r="E177" s="110">
        <f t="shared" si="18"/>
        <v>0</v>
      </c>
      <c r="F177" s="144">
        <v>0</v>
      </c>
      <c r="G177" s="165">
        <v>0</v>
      </c>
      <c r="H177" s="166"/>
      <c r="I177" s="144">
        <v>0</v>
      </c>
      <c r="J177" s="161">
        <f t="shared" si="15"/>
        <v>0</v>
      </c>
      <c r="K177" s="162"/>
      <c r="L177" s="162"/>
      <c r="M177" s="319"/>
      <c r="N177" s="319"/>
    </row>
    <row r="178" spans="1:12" ht="15.75">
      <c r="A178" s="160" t="s">
        <v>42</v>
      </c>
      <c r="B178" s="160"/>
      <c r="C178" s="142">
        <f>SUM(C179:C183)</f>
        <v>710563956</v>
      </c>
      <c r="D178" s="143">
        <f>SUM(D179:D183)</f>
        <v>783283100.18</v>
      </c>
      <c r="E178" s="110">
        <f>SUM(E179:E183)</f>
        <v>110112877.42000002</v>
      </c>
      <c r="F178" s="144">
        <f>(E178/D178)*100</f>
        <v>14.057864569616765</v>
      </c>
      <c r="G178" s="184">
        <f>SUM(G179:H183)</f>
        <v>422082183.16</v>
      </c>
      <c r="H178" s="185">
        <f>SUM(H179:H183)</f>
        <v>0</v>
      </c>
      <c r="I178" s="144">
        <f>(G178/D178)*100</f>
        <v>53.88628748188295</v>
      </c>
      <c r="J178" s="167">
        <f aca="true" t="shared" si="19" ref="J178:J183">D178-G178</f>
        <v>361200917.0199999</v>
      </c>
      <c r="K178" s="168"/>
      <c r="L178" s="168"/>
    </row>
    <row r="179" spans="1:12" ht="15.75">
      <c r="A179" s="160" t="s">
        <v>93</v>
      </c>
      <c r="B179" s="160"/>
      <c r="C179" s="142">
        <v>0</v>
      </c>
      <c r="D179" s="143">
        <v>0</v>
      </c>
      <c r="E179" s="110">
        <f>G179-1495368.81</f>
        <v>379282.56000000006</v>
      </c>
      <c r="F179" s="144">
        <v>0</v>
      </c>
      <c r="G179" s="165">
        <v>1874651.37</v>
      </c>
      <c r="H179" s="166"/>
      <c r="I179" s="144">
        <v>0</v>
      </c>
      <c r="J179" s="167">
        <f t="shared" si="19"/>
        <v>-1874651.37</v>
      </c>
      <c r="K179" s="168"/>
      <c r="L179" s="168"/>
    </row>
    <row r="180" spans="1:12" ht="15.75">
      <c r="A180" s="160" t="s">
        <v>94</v>
      </c>
      <c r="B180" s="160"/>
      <c r="C180" s="142">
        <v>707772130</v>
      </c>
      <c r="D180" s="143">
        <v>780491274.18</v>
      </c>
      <c r="E180" s="110">
        <f>G180-310462478.55</f>
        <v>109733594.86000001</v>
      </c>
      <c r="F180" s="144">
        <f>(E180/D180)*100</f>
        <v>14.059554346112115</v>
      </c>
      <c r="G180" s="184">
        <v>420196073.41</v>
      </c>
      <c r="H180" s="185"/>
      <c r="I180" s="144">
        <f>(G180/D180)*100</f>
        <v>53.83738259616888</v>
      </c>
      <c r="J180" s="167">
        <f t="shared" si="19"/>
        <v>360295200.7699999</v>
      </c>
      <c r="K180" s="168"/>
      <c r="L180" s="168"/>
    </row>
    <row r="181" spans="1:12" ht="15.75">
      <c r="A181" s="160" t="s">
        <v>95</v>
      </c>
      <c r="B181" s="160"/>
      <c r="C181" s="142">
        <v>0</v>
      </c>
      <c r="D181" s="144">
        <v>0</v>
      </c>
      <c r="E181" s="110">
        <f>G181</f>
        <v>0</v>
      </c>
      <c r="F181" s="144">
        <v>0</v>
      </c>
      <c r="G181" s="165">
        <v>0</v>
      </c>
      <c r="H181" s="166"/>
      <c r="I181" s="144">
        <v>0</v>
      </c>
      <c r="J181" s="167">
        <f t="shared" si="19"/>
        <v>0</v>
      </c>
      <c r="K181" s="168"/>
      <c r="L181" s="168"/>
    </row>
    <row r="182" spans="1:14" ht="15.75">
      <c r="A182" s="160" t="s">
        <v>149</v>
      </c>
      <c r="B182" s="160"/>
      <c r="C182" s="142">
        <v>0</v>
      </c>
      <c r="D182" s="144">
        <v>0</v>
      </c>
      <c r="E182" s="110">
        <f>G182</f>
        <v>0</v>
      </c>
      <c r="F182" s="144">
        <v>0</v>
      </c>
      <c r="G182" s="165">
        <v>0</v>
      </c>
      <c r="H182" s="166"/>
      <c r="I182" s="144">
        <v>0</v>
      </c>
      <c r="J182" s="167">
        <f t="shared" si="19"/>
        <v>0</v>
      </c>
      <c r="K182" s="168"/>
      <c r="L182" s="168"/>
      <c r="M182" s="319"/>
      <c r="N182" s="319"/>
    </row>
    <row r="183" spans="1:12" ht="15" customHeight="1">
      <c r="A183" s="160" t="s">
        <v>96</v>
      </c>
      <c r="B183" s="160"/>
      <c r="C183" s="142">
        <v>2791826</v>
      </c>
      <c r="D183" s="142">
        <v>2791826</v>
      </c>
      <c r="E183" s="110">
        <f>G183-11458.38</f>
        <v>0</v>
      </c>
      <c r="F183" s="144">
        <f>(E183/D183)*100</f>
        <v>0</v>
      </c>
      <c r="G183" s="165">
        <v>11458.38</v>
      </c>
      <c r="H183" s="166"/>
      <c r="I183" s="144">
        <f>(G183/D183)*100</f>
        <v>0.4104260079245626</v>
      </c>
      <c r="J183" s="167">
        <f t="shared" si="19"/>
        <v>2780367.62</v>
      </c>
      <c r="K183" s="168"/>
      <c r="L183" s="168"/>
    </row>
    <row r="184" spans="1:12" ht="15.75">
      <c r="A184" s="191" t="s">
        <v>43</v>
      </c>
      <c r="B184" s="191"/>
      <c r="C184" s="146">
        <f>C185+C188+C192+C193+C202</f>
        <v>0</v>
      </c>
      <c r="D184" s="147">
        <f>D185+D188+D192+D193+D202</f>
        <v>48881.31</v>
      </c>
      <c r="E184" s="148">
        <f>E185+E188+E192+E193+E202</f>
        <v>20214.979999999996</v>
      </c>
      <c r="F184" s="149">
        <v>0</v>
      </c>
      <c r="G184" s="186">
        <f>G185+G188+G192+G193+G202</f>
        <v>64278.77</v>
      </c>
      <c r="H184" s="187"/>
      <c r="I184" s="149">
        <v>0</v>
      </c>
      <c r="J184" s="209">
        <f aca="true" t="shared" si="20" ref="J184:J201">D184-G184</f>
        <v>-15397.46</v>
      </c>
      <c r="K184" s="210"/>
      <c r="L184" s="210"/>
    </row>
    <row r="185" spans="1:12" ht="15.75">
      <c r="A185" s="183" t="s">
        <v>44</v>
      </c>
      <c r="B185" s="183"/>
      <c r="C185" s="106">
        <f>C186+C187</f>
        <v>0</v>
      </c>
      <c r="D185" s="100">
        <f>D186+D187</f>
        <v>0</v>
      </c>
      <c r="E185" s="107">
        <f>E186+E187</f>
        <v>0</v>
      </c>
      <c r="F185" s="23">
        <v>0</v>
      </c>
      <c r="G185" s="180">
        <f>G186+G187</f>
        <v>0</v>
      </c>
      <c r="H185" s="181"/>
      <c r="I185" s="23">
        <v>0</v>
      </c>
      <c r="J185" s="157">
        <f t="shared" si="20"/>
        <v>0</v>
      </c>
      <c r="K185" s="158"/>
      <c r="L185" s="158"/>
    </row>
    <row r="186" spans="1:12" ht="15.75">
      <c r="A186" s="183" t="s">
        <v>116</v>
      </c>
      <c r="B186" s="183"/>
      <c r="C186" s="106">
        <v>0</v>
      </c>
      <c r="D186" s="100">
        <v>0</v>
      </c>
      <c r="E186" s="107">
        <f>G186</f>
        <v>0</v>
      </c>
      <c r="F186" s="23">
        <v>0</v>
      </c>
      <c r="G186" s="180">
        <v>0</v>
      </c>
      <c r="H186" s="181"/>
      <c r="I186" s="23">
        <v>0</v>
      </c>
      <c r="J186" s="157">
        <f t="shared" si="20"/>
        <v>0</v>
      </c>
      <c r="K186" s="158"/>
      <c r="L186" s="158"/>
    </row>
    <row r="187" spans="1:12" ht="15.75">
      <c r="A187" s="183" t="s">
        <v>117</v>
      </c>
      <c r="B187" s="183"/>
      <c r="C187" s="106">
        <v>0</v>
      </c>
      <c r="D187" s="100">
        <v>0</v>
      </c>
      <c r="E187" s="107">
        <f>G187</f>
        <v>0</v>
      </c>
      <c r="F187" s="23">
        <v>0</v>
      </c>
      <c r="G187" s="180">
        <v>0</v>
      </c>
      <c r="H187" s="181"/>
      <c r="I187" s="23">
        <v>0</v>
      </c>
      <c r="J187" s="157">
        <f t="shared" si="20"/>
        <v>0</v>
      </c>
      <c r="K187" s="158"/>
      <c r="L187" s="158"/>
    </row>
    <row r="188" spans="1:12" ht="15.75">
      <c r="A188" s="183" t="s">
        <v>45</v>
      </c>
      <c r="B188" s="183"/>
      <c r="C188" s="106">
        <f>C189+C190+C191</f>
        <v>0</v>
      </c>
      <c r="D188" s="100">
        <f>D189+D190+D191</f>
        <v>0</v>
      </c>
      <c r="E188" s="107">
        <f>E189+E190+E191</f>
        <v>0</v>
      </c>
      <c r="F188" s="23">
        <v>0</v>
      </c>
      <c r="G188" s="180">
        <f>SUM(G189:H191)</f>
        <v>0</v>
      </c>
      <c r="H188" s="181"/>
      <c r="I188" s="23">
        <v>0</v>
      </c>
      <c r="J188" s="157">
        <f t="shared" si="20"/>
        <v>0</v>
      </c>
      <c r="K188" s="158"/>
      <c r="L188" s="158"/>
    </row>
    <row r="189" spans="1:12" ht="15.75">
      <c r="A189" s="183" t="s">
        <v>46</v>
      </c>
      <c r="B189" s="183"/>
      <c r="C189" s="106">
        <v>0</v>
      </c>
      <c r="D189" s="100">
        <v>0</v>
      </c>
      <c r="E189" s="107">
        <f>G189</f>
        <v>0</v>
      </c>
      <c r="F189" s="23">
        <v>0</v>
      </c>
      <c r="G189" s="180">
        <v>0</v>
      </c>
      <c r="H189" s="181"/>
      <c r="I189" s="23">
        <v>0</v>
      </c>
      <c r="J189" s="157">
        <f t="shared" si="20"/>
        <v>0</v>
      </c>
      <c r="K189" s="158"/>
      <c r="L189" s="158"/>
    </row>
    <row r="190" spans="1:12" ht="15.75">
      <c r="A190" s="183" t="s">
        <v>47</v>
      </c>
      <c r="B190" s="183"/>
      <c r="C190" s="106">
        <v>0</v>
      </c>
      <c r="D190" s="100">
        <v>0</v>
      </c>
      <c r="E190" s="107">
        <f>G190</f>
        <v>0</v>
      </c>
      <c r="F190" s="23">
        <v>0</v>
      </c>
      <c r="G190" s="180">
        <v>0</v>
      </c>
      <c r="H190" s="181"/>
      <c r="I190" s="23">
        <v>0</v>
      </c>
      <c r="J190" s="157">
        <f t="shared" si="20"/>
        <v>0</v>
      </c>
      <c r="K190" s="158"/>
      <c r="L190" s="158"/>
    </row>
    <row r="191" spans="1:12" ht="15.75">
      <c r="A191" s="183" t="s">
        <v>118</v>
      </c>
      <c r="B191" s="183"/>
      <c r="C191" s="106">
        <v>0</v>
      </c>
      <c r="D191" s="100">
        <v>0</v>
      </c>
      <c r="E191" s="107">
        <f>G191</f>
        <v>0</v>
      </c>
      <c r="F191" s="23">
        <v>0</v>
      </c>
      <c r="G191" s="180">
        <v>0</v>
      </c>
      <c r="H191" s="181"/>
      <c r="I191" s="23">
        <v>0</v>
      </c>
      <c r="J191" s="155">
        <f t="shared" si="20"/>
        <v>0</v>
      </c>
      <c r="K191" s="159"/>
      <c r="L191" s="159"/>
    </row>
    <row r="192" spans="1:12" ht="15.75">
      <c r="A192" s="183" t="s">
        <v>48</v>
      </c>
      <c r="B192" s="183"/>
      <c r="C192" s="106">
        <v>0</v>
      </c>
      <c r="D192" s="100">
        <v>48881.31</v>
      </c>
      <c r="E192" s="107">
        <f>G192-44063.79</f>
        <v>20214.979999999996</v>
      </c>
      <c r="F192" s="23">
        <v>0</v>
      </c>
      <c r="G192" s="180">
        <v>64278.77</v>
      </c>
      <c r="H192" s="181"/>
      <c r="I192" s="23">
        <v>0</v>
      </c>
      <c r="J192" s="157">
        <f t="shared" si="20"/>
        <v>-15397.46</v>
      </c>
      <c r="K192" s="158"/>
      <c r="L192" s="158"/>
    </row>
    <row r="193" spans="1:12" ht="15.75">
      <c r="A193" s="183" t="s">
        <v>49</v>
      </c>
      <c r="B193" s="183"/>
      <c r="C193" s="106">
        <f>SUM(C194:C201)</f>
        <v>0</v>
      </c>
      <c r="D193" s="106">
        <f>SUM(D194:D201)</f>
        <v>0</v>
      </c>
      <c r="E193" s="107">
        <f>SUM(E194:E201)</f>
        <v>0</v>
      </c>
      <c r="F193" s="23">
        <v>0</v>
      </c>
      <c r="G193" s="180">
        <f>SUM(G194:H201)</f>
        <v>0</v>
      </c>
      <c r="H193" s="181">
        <f>SUM(H194:H201)</f>
        <v>0</v>
      </c>
      <c r="I193" s="23">
        <v>0</v>
      </c>
      <c r="J193" s="157">
        <f t="shared" si="20"/>
        <v>0</v>
      </c>
      <c r="K193" s="158"/>
      <c r="L193" s="158"/>
    </row>
    <row r="194" spans="1:12" ht="15.75">
      <c r="A194" s="183" t="s">
        <v>97</v>
      </c>
      <c r="B194" s="183"/>
      <c r="C194" s="106">
        <v>0</v>
      </c>
      <c r="D194" s="100">
        <v>0</v>
      </c>
      <c r="E194" s="107">
        <f aca="true" t="shared" si="21" ref="E194:E201">G194</f>
        <v>0</v>
      </c>
      <c r="F194" s="23">
        <v>0</v>
      </c>
      <c r="G194" s="180">
        <v>0</v>
      </c>
      <c r="H194" s="181"/>
      <c r="I194" s="23">
        <v>0</v>
      </c>
      <c r="J194" s="157">
        <f t="shared" si="20"/>
        <v>0</v>
      </c>
      <c r="K194" s="158"/>
      <c r="L194" s="158"/>
    </row>
    <row r="195" spans="1:12" ht="15.75">
      <c r="A195" s="183" t="s">
        <v>98</v>
      </c>
      <c r="B195" s="183"/>
      <c r="C195" s="106">
        <v>0</v>
      </c>
      <c r="D195" s="100">
        <v>0</v>
      </c>
      <c r="E195" s="107">
        <f t="shared" si="21"/>
        <v>0</v>
      </c>
      <c r="F195" s="23">
        <v>0</v>
      </c>
      <c r="G195" s="180">
        <v>0</v>
      </c>
      <c r="H195" s="181"/>
      <c r="I195" s="23">
        <v>0</v>
      </c>
      <c r="J195" s="157">
        <f t="shared" si="20"/>
        <v>0</v>
      </c>
      <c r="K195" s="158"/>
      <c r="L195" s="158"/>
    </row>
    <row r="196" spans="1:12" ht="15.75">
      <c r="A196" s="183" t="s">
        <v>99</v>
      </c>
      <c r="B196" s="183"/>
      <c r="C196" s="106">
        <v>0</v>
      </c>
      <c r="D196" s="100">
        <v>0</v>
      </c>
      <c r="E196" s="107">
        <f t="shared" si="21"/>
        <v>0</v>
      </c>
      <c r="F196" s="23">
        <v>0</v>
      </c>
      <c r="G196" s="180">
        <v>0</v>
      </c>
      <c r="H196" s="181"/>
      <c r="I196" s="23">
        <v>0</v>
      </c>
      <c r="J196" s="157">
        <f t="shared" si="20"/>
        <v>0</v>
      </c>
      <c r="K196" s="158"/>
      <c r="L196" s="158"/>
    </row>
    <row r="197" spans="1:12" ht="15.75">
      <c r="A197" s="183" t="s">
        <v>40</v>
      </c>
      <c r="B197" s="183"/>
      <c r="C197" s="106">
        <v>0</v>
      </c>
      <c r="D197" s="100">
        <v>0</v>
      </c>
      <c r="E197" s="107">
        <f t="shared" si="21"/>
        <v>0</v>
      </c>
      <c r="F197" s="23">
        <v>0</v>
      </c>
      <c r="G197" s="180">
        <v>0</v>
      </c>
      <c r="H197" s="181"/>
      <c r="I197" s="23">
        <v>0</v>
      </c>
      <c r="J197" s="157">
        <f t="shared" si="20"/>
        <v>0</v>
      </c>
      <c r="K197" s="158"/>
      <c r="L197" s="158"/>
    </row>
    <row r="198" spans="1:12" ht="15.75">
      <c r="A198" s="183" t="s">
        <v>82</v>
      </c>
      <c r="B198" s="183"/>
      <c r="C198" s="106">
        <v>0</v>
      </c>
      <c r="D198" s="100">
        <v>0</v>
      </c>
      <c r="E198" s="107">
        <f t="shared" si="21"/>
        <v>0</v>
      </c>
      <c r="F198" s="23">
        <v>0</v>
      </c>
      <c r="G198" s="180">
        <v>0</v>
      </c>
      <c r="H198" s="181"/>
      <c r="I198" s="23">
        <v>0</v>
      </c>
      <c r="J198" s="157">
        <f t="shared" si="20"/>
        <v>0</v>
      </c>
      <c r="K198" s="158"/>
      <c r="L198" s="158"/>
    </row>
    <row r="199" spans="1:12" ht="15.75">
      <c r="A199" s="183" t="s">
        <v>41</v>
      </c>
      <c r="B199" s="183"/>
      <c r="C199" s="106">
        <v>0</v>
      </c>
      <c r="D199" s="100">
        <v>0</v>
      </c>
      <c r="E199" s="107">
        <f t="shared" si="21"/>
        <v>0</v>
      </c>
      <c r="F199" s="23">
        <v>0</v>
      </c>
      <c r="G199" s="180">
        <v>0</v>
      </c>
      <c r="H199" s="181"/>
      <c r="I199" s="23">
        <v>0</v>
      </c>
      <c r="J199" s="157">
        <f t="shared" si="20"/>
        <v>0</v>
      </c>
      <c r="K199" s="158"/>
      <c r="L199" s="158"/>
    </row>
    <row r="200" spans="1:12" ht="15.75">
      <c r="A200" s="183" t="s">
        <v>100</v>
      </c>
      <c r="B200" s="183"/>
      <c r="C200" s="106">
        <v>0</v>
      </c>
      <c r="D200" s="100">
        <v>0</v>
      </c>
      <c r="E200" s="107">
        <f t="shared" si="21"/>
        <v>0</v>
      </c>
      <c r="F200" s="23">
        <v>0</v>
      </c>
      <c r="G200" s="180">
        <v>0</v>
      </c>
      <c r="H200" s="181"/>
      <c r="I200" s="23">
        <v>0</v>
      </c>
      <c r="J200" s="155">
        <f t="shared" si="20"/>
        <v>0</v>
      </c>
      <c r="K200" s="159"/>
      <c r="L200" s="159"/>
    </row>
    <row r="201" spans="1:12" ht="15.75">
      <c r="A201" s="183" t="s">
        <v>101</v>
      </c>
      <c r="B201" s="183"/>
      <c r="C201" s="106">
        <v>0</v>
      </c>
      <c r="D201" s="100">
        <v>0</v>
      </c>
      <c r="E201" s="107">
        <f t="shared" si="21"/>
        <v>0</v>
      </c>
      <c r="F201" s="23">
        <v>0</v>
      </c>
      <c r="G201" s="180">
        <v>0</v>
      </c>
      <c r="H201" s="181"/>
      <c r="I201" s="23">
        <v>0</v>
      </c>
      <c r="J201" s="155">
        <f t="shared" si="20"/>
        <v>0</v>
      </c>
      <c r="K201" s="159"/>
      <c r="L201" s="159"/>
    </row>
    <row r="202" spans="1:12" ht="15.75">
      <c r="A202" s="195" t="s">
        <v>50</v>
      </c>
      <c r="B202" s="183"/>
      <c r="C202" s="106">
        <f>SUM(C203:C206)</f>
        <v>0</v>
      </c>
      <c r="D202" s="100">
        <f>SUM(D203:D206)</f>
        <v>0</v>
      </c>
      <c r="E202" s="107">
        <f>SUM(E203:E206)</f>
        <v>0</v>
      </c>
      <c r="F202" s="23">
        <v>0</v>
      </c>
      <c r="G202" s="180">
        <f>SUM(G203:H206)</f>
        <v>0</v>
      </c>
      <c r="H202" s="181">
        <f>SUM(H204:H206)</f>
        <v>0</v>
      </c>
      <c r="I202" s="23">
        <v>0</v>
      </c>
      <c r="J202" s="157">
        <f>D202-G202</f>
        <v>0</v>
      </c>
      <c r="K202" s="158"/>
      <c r="L202" s="158"/>
    </row>
    <row r="203" spans="1:12" ht="15.75">
      <c r="A203" s="183" t="s">
        <v>119</v>
      </c>
      <c r="B203" s="183"/>
      <c r="C203" s="106">
        <v>0</v>
      </c>
      <c r="D203" s="100">
        <v>0</v>
      </c>
      <c r="E203" s="107">
        <f>G203</f>
        <v>0</v>
      </c>
      <c r="F203" s="23">
        <v>0</v>
      </c>
      <c r="G203" s="180">
        <v>0</v>
      </c>
      <c r="H203" s="181"/>
      <c r="I203" s="23">
        <v>0</v>
      </c>
      <c r="J203" s="157">
        <f>D203-G203</f>
        <v>0</v>
      </c>
      <c r="K203" s="158"/>
      <c r="L203" s="158"/>
    </row>
    <row r="204" spans="1:12" ht="15.75">
      <c r="A204" s="183" t="s">
        <v>120</v>
      </c>
      <c r="B204" s="183"/>
      <c r="C204" s="106">
        <v>0</v>
      </c>
      <c r="D204" s="100">
        <v>0</v>
      </c>
      <c r="E204" s="107">
        <f>G204</f>
        <v>0</v>
      </c>
      <c r="F204" s="23">
        <v>0</v>
      </c>
      <c r="G204" s="180">
        <v>0</v>
      </c>
      <c r="H204" s="181"/>
      <c r="I204" s="23">
        <v>0</v>
      </c>
      <c r="J204" s="157">
        <f>D204-G204</f>
        <v>0</v>
      </c>
      <c r="K204" s="158"/>
      <c r="L204" s="158"/>
    </row>
    <row r="205" spans="1:12" ht="15.75">
      <c r="A205" s="183" t="s">
        <v>121</v>
      </c>
      <c r="B205" s="183"/>
      <c r="C205" s="106">
        <v>0</v>
      </c>
      <c r="D205" s="100">
        <v>0</v>
      </c>
      <c r="E205" s="107">
        <f>G205</f>
        <v>0</v>
      </c>
      <c r="F205" s="23">
        <v>0</v>
      </c>
      <c r="G205" s="180">
        <v>0</v>
      </c>
      <c r="H205" s="181"/>
      <c r="I205" s="23">
        <v>0</v>
      </c>
      <c r="J205" s="157">
        <f>D205-G205</f>
        <v>0</v>
      </c>
      <c r="K205" s="158"/>
      <c r="L205" s="158"/>
    </row>
    <row r="206" spans="1:12" ht="15.75">
      <c r="A206" s="182" t="s">
        <v>122</v>
      </c>
      <c r="B206" s="182"/>
      <c r="C206" s="124">
        <v>0</v>
      </c>
      <c r="D206" s="121">
        <v>0</v>
      </c>
      <c r="E206" s="125">
        <f>G206</f>
        <v>0</v>
      </c>
      <c r="F206" s="31">
        <v>0</v>
      </c>
      <c r="G206" s="196">
        <v>0</v>
      </c>
      <c r="H206" s="197"/>
      <c r="I206" s="31">
        <v>0</v>
      </c>
      <c r="J206" s="178">
        <f>D206-G206</f>
        <v>0</v>
      </c>
      <c r="K206" s="179"/>
      <c r="L206" s="179"/>
    </row>
    <row r="207" spans="1:12" ht="15.75" customHeight="1">
      <c r="A207" s="55"/>
      <c r="B207" s="56"/>
      <c r="C207" s="56"/>
      <c r="D207" s="57"/>
      <c r="E207" s="82"/>
      <c r="F207" s="56"/>
      <c r="G207" s="82"/>
      <c r="H207" s="169"/>
      <c r="I207" s="169"/>
      <c r="J207" s="58"/>
      <c r="K207" s="169"/>
      <c r="L207" s="169"/>
    </row>
    <row r="208" spans="1:12" ht="15.75">
      <c r="A208" s="188" t="s">
        <v>18</v>
      </c>
      <c r="B208" s="83" t="s">
        <v>15</v>
      </c>
      <c r="C208" s="83" t="s">
        <v>15</v>
      </c>
      <c r="D208" s="192" t="s">
        <v>16</v>
      </c>
      <c r="E208" s="193"/>
      <c r="F208" s="84" t="s">
        <v>67</v>
      </c>
      <c r="G208" s="192" t="s">
        <v>17</v>
      </c>
      <c r="H208" s="193"/>
      <c r="I208" s="194"/>
      <c r="J208" s="85" t="s">
        <v>67</v>
      </c>
      <c r="K208" s="170" t="s">
        <v>71</v>
      </c>
      <c r="L208" s="171"/>
    </row>
    <row r="209" spans="1:12" ht="15.75">
      <c r="A209" s="189"/>
      <c r="B209" s="86" t="s">
        <v>5</v>
      </c>
      <c r="C209" s="86" t="s">
        <v>6</v>
      </c>
      <c r="D209" s="87" t="s">
        <v>72</v>
      </c>
      <c r="E209" s="87" t="s">
        <v>73</v>
      </c>
      <c r="F209" s="88"/>
      <c r="G209" s="87" t="s">
        <v>72</v>
      </c>
      <c r="H209" s="174" t="s">
        <v>73</v>
      </c>
      <c r="I209" s="175"/>
      <c r="J209" s="89"/>
      <c r="K209" s="172"/>
      <c r="L209" s="173"/>
    </row>
    <row r="210" spans="1:12" ht="15.75">
      <c r="A210" s="189"/>
      <c r="B210" s="86"/>
      <c r="C210" s="86"/>
      <c r="D210" s="88" t="s">
        <v>74</v>
      </c>
      <c r="E210" s="88" t="s">
        <v>74</v>
      </c>
      <c r="F210" s="88"/>
      <c r="G210" s="88" t="s">
        <v>74</v>
      </c>
      <c r="H210" s="176" t="s">
        <v>74</v>
      </c>
      <c r="I210" s="177"/>
      <c r="J210" s="89"/>
      <c r="K210" s="172"/>
      <c r="L210" s="173"/>
    </row>
    <row r="211" spans="1:12" ht="15.75">
      <c r="A211" s="190"/>
      <c r="B211" s="90" t="s">
        <v>19</v>
      </c>
      <c r="C211" s="90" t="s">
        <v>20</v>
      </c>
      <c r="D211" s="90"/>
      <c r="E211" s="90" t="s">
        <v>75</v>
      </c>
      <c r="F211" s="91" t="s">
        <v>76</v>
      </c>
      <c r="G211" s="90"/>
      <c r="H211" s="206" t="s">
        <v>21</v>
      </c>
      <c r="I211" s="207"/>
      <c r="J211" s="92" t="s">
        <v>77</v>
      </c>
      <c r="K211" s="206" t="s">
        <v>22</v>
      </c>
      <c r="L211" s="208"/>
    </row>
    <row r="212" spans="1:12" s="3" customFormat="1" ht="15.75">
      <c r="A212" s="42" t="s">
        <v>63</v>
      </c>
      <c r="B212" s="114">
        <f>B213+B217</f>
        <v>5479454544</v>
      </c>
      <c r="C212" s="114">
        <f>C213+C217</f>
        <v>6535674557.19</v>
      </c>
      <c r="D212" s="114">
        <f>D213+D217</f>
        <v>1062341586.6299999</v>
      </c>
      <c r="E212" s="114">
        <f>E213+E217</f>
        <v>4298404124.589999</v>
      </c>
      <c r="F212" s="114">
        <f>C212-E212</f>
        <v>2237270432.6000004</v>
      </c>
      <c r="G212" s="114">
        <f>G213+G217</f>
        <v>1090626410.1100001</v>
      </c>
      <c r="H212" s="203">
        <f>H213+H217</f>
        <v>3735177647.6400003</v>
      </c>
      <c r="I212" s="204"/>
      <c r="J212" s="105">
        <f aca="true" t="shared" si="22" ref="J212:J218">C212-H212</f>
        <v>2800496909.549999</v>
      </c>
      <c r="K212" s="203">
        <f>K213+K217</f>
        <v>3290467572.1</v>
      </c>
      <c r="L212" s="205"/>
    </row>
    <row r="213" spans="1:12" s="3" customFormat="1" ht="15.75">
      <c r="A213" s="42" t="s">
        <v>54</v>
      </c>
      <c r="B213" s="114">
        <f>SUM(B214:B216)</f>
        <v>5479308844</v>
      </c>
      <c r="C213" s="114">
        <f>SUM(C214:C216)</f>
        <v>6535408411.15</v>
      </c>
      <c r="D213" s="114">
        <f>SUM(D214:D216)</f>
        <v>1062323225.6499999</v>
      </c>
      <c r="E213" s="114">
        <f>SUM(E214:E216)</f>
        <v>4298385763.61</v>
      </c>
      <c r="F213" s="114">
        <f aca="true" t="shared" si="23" ref="F213:F221">C213-E213</f>
        <v>2237022647.54</v>
      </c>
      <c r="G213" s="114">
        <f>SUM(G214:G216)</f>
        <v>1090626410.1100001</v>
      </c>
      <c r="H213" s="203">
        <f>SUM(H214:I216)</f>
        <v>3735177647.6400003</v>
      </c>
      <c r="I213" s="204">
        <f>SUM(I214:I216)</f>
        <v>0</v>
      </c>
      <c r="J213" s="105">
        <f t="shared" si="22"/>
        <v>2800230763.5099993</v>
      </c>
      <c r="K213" s="203">
        <f>SUM(K214:L216)</f>
        <v>3290467572.1</v>
      </c>
      <c r="L213" s="205"/>
    </row>
    <row r="214" spans="1:12" s="3" customFormat="1" ht="15.75" customHeight="1">
      <c r="A214" s="43" t="s">
        <v>55</v>
      </c>
      <c r="B214" s="117">
        <v>3025509958</v>
      </c>
      <c r="C214" s="117">
        <v>3412856442.02</v>
      </c>
      <c r="D214" s="117">
        <f>E214-1994073773.6</f>
        <v>575528729.3899999</v>
      </c>
      <c r="E214" s="117">
        <v>2569602502.99</v>
      </c>
      <c r="F214" s="117">
        <f t="shared" si="23"/>
        <v>843253939.0300002</v>
      </c>
      <c r="G214" s="117">
        <f>H214-1578890425.28</f>
        <v>534015096.1300001</v>
      </c>
      <c r="H214" s="155">
        <v>2112905521.41</v>
      </c>
      <c r="I214" s="156"/>
      <c r="J214" s="100">
        <f t="shared" si="22"/>
        <v>1299950920.61</v>
      </c>
      <c r="K214" s="155">
        <v>1851855896.59</v>
      </c>
      <c r="L214" s="159"/>
    </row>
    <row r="215" spans="1:12" s="3" customFormat="1" ht="15.75" customHeight="1">
      <c r="A215" s="96" t="s">
        <v>131</v>
      </c>
      <c r="B215" s="117">
        <v>0</v>
      </c>
      <c r="C215" s="117">
        <v>0</v>
      </c>
      <c r="D215" s="117">
        <f>E215</f>
        <v>0</v>
      </c>
      <c r="E215" s="117">
        <v>0</v>
      </c>
      <c r="F215" s="117">
        <f t="shared" si="23"/>
        <v>0</v>
      </c>
      <c r="G215" s="117">
        <f>H215</f>
        <v>0</v>
      </c>
      <c r="H215" s="155">
        <v>0</v>
      </c>
      <c r="I215" s="156"/>
      <c r="J215" s="100">
        <f t="shared" si="22"/>
        <v>0</v>
      </c>
      <c r="K215" s="155">
        <v>0</v>
      </c>
      <c r="L215" s="159"/>
    </row>
    <row r="216" spans="1:12" s="3" customFormat="1" ht="15.75" customHeight="1">
      <c r="A216" s="43" t="s">
        <v>57</v>
      </c>
      <c r="B216" s="117">
        <v>2453798886</v>
      </c>
      <c r="C216" s="117">
        <v>3122551969.13</v>
      </c>
      <c r="D216" s="117">
        <f>E216-1241988764.36</f>
        <v>486794496.26</v>
      </c>
      <c r="E216" s="117">
        <v>1728783260.62</v>
      </c>
      <c r="F216" s="117">
        <f t="shared" si="23"/>
        <v>1393768708.5100002</v>
      </c>
      <c r="G216" s="117">
        <f>H216-1065660812.25</f>
        <v>556611313.98</v>
      </c>
      <c r="H216" s="155">
        <v>1622272126.23</v>
      </c>
      <c r="I216" s="156"/>
      <c r="J216" s="100">
        <f t="shared" si="22"/>
        <v>1500279842.9</v>
      </c>
      <c r="K216" s="155">
        <v>1438611675.51</v>
      </c>
      <c r="L216" s="159"/>
    </row>
    <row r="217" spans="1:12" s="3" customFormat="1" ht="15.75" customHeight="1">
      <c r="A217" s="42" t="s">
        <v>58</v>
      </c>
      <c r="B217" s="114">
        <f>B218+B219+B220</f>
        <v>145700</v>
      </c>
      <c r="C217" s="151">
        <f>C218+C219+C220</f>
        <v>266146.04000000004</v>
      </c>
      <c r="D217" s="151">
        <f>D218+D219+D220</f>
        <v>18360.98</v>
      </c>
      <c r="E217" s="151">
        <f>E218+E219+E220</f>
        <v>18360.98</v>
      </c>
      <c r="F217" s="114">
        <f t="shared" si="23"/>
        <v>247785.06000000003</v>
      </c>
      <c r="G217" s="114">
        <f>G218+G219+G220</f>
        <v>0</v>
      </c>
      <c r="H217" s="203">
        <f>H218+H219+H220</f>
        <v>0</v>
      </c>
      <c r="I217" s="204"/>
      <c r="J217" s="105">
        <f t="shared" si="22"/>
        <v>266146.04000000004</v>
      </c>
      <c r="K217" s="203">
        <f>K218+K219+K221</f>
        <v>0</v>
      </c>
      <c r="L217" s="205"/>
    </row>
    <row r="218" spans="1:12" s="3" customFormat="1" ht="15.75" customHeight="1">
      <c r="A218" s="43" t="s">
        <v>59</v>
      </c>
      <c r="B218" s="117">
        <v>145700</v>
      </c>
      <c r="C218" s="117">
        <v>245587.04</v>
      </c>
      <c r="D218" s="117">
        <f>E218</f>
        <v>0</v>
      </c>
      <c r="E218" s="117">
        <v>0</v>
      </c>
      <c r="F218" s="117">
        <f t="shared" si="23"/>
        <v>245587.04</v>
      </c>
      <c r="G218" s="100">
        <f>H218</f>
        <v>0</v>
      </c>
      <c r="H218" s="159">
        <v>0</v>
      </c>
      <c r="I218" s="156"/>
      <c r="J218" s="100">
        <f t="shared" si="22"/>
        <v>245587.04</v>
      </c>
      <c r="K218" s="159">
        <v>0</v>
      </c>
      <c r="L218" s="159"/>
    </row>
    <row r="219" spans="1:12" s="3" customFormat="1" ht="15.75" customHeight="1">
      <c r="A219" s="43" t="s">
        <v>60</v>
      </c>
      <c r="B219" s="117">
        <v>0</v>
      </c>
      <c r="C219" s="117">
        <v>0</v>
      </c>
      <c r="D219" s="117">
        <f>E219</f>
        <v>0</v>
      </c>
      <c r="E219" s="117">
        <v>0</v>
      </c>
      <c r="F219" s="117">
        <f t="shared" si="23"/>
        <v>0</v>
      </c>
      <c r="G219" s="100">
        <f>H219</f>
        <v>0</v>
      </c>
      <c r="H219" s="155">
        <v>0</v>
      </c>
      <c r="I219" s="156"/>
      <c r="J219" s="100">
        <v>0</v>
      </c>
      <c r="K219" s="155">
        <v>0</v>
      </c>
      <c r="L219" s="159"/>
    </row>
    <row r="220" spans="1:12" s="3" customFormat="1" ht="15.75" customHeight="1">
      <c r="A220" s="43" t="s">
        <v>61</v>
      </c>
      <c r="B220" s="139">
        <v>0</v>
      </c>
      <c r="C220" s="139">
        <v>20559</v>
      </c>
      <c r="D220" s="139">
        <f>E220-0</f>
        <v>18360.98</v>
      </c>
      <c r="E220" s="139">
        <v>18360.98</v>
      </c>
      <c r="F220" s="139">
        <v>0</v>
      </c>
      <c r="G220" s="139">
        <v>0</v>
      </c>
      <c r="H220" s="155">
        <v>0</v>
      </c>
      <c r="I220" s="156"/>
      <c r="J220" s="100">
        <v>0</v>
      </c>
      <c r="K220" s="155">
        <v>0</v>
      </c>
      <c r="L220" s="159"/>
    </row>
    <row r="221" spans="1:12" s="3" customFormat="1" ht="15.75" customHeight="1">
      <c r="A221" s="140" t="s">
        <v>150</v>
      </c>
      <c r="B221" s="120">
        <v>0</v>
      </c>
      <c r="C221" s="120">
        <v>0</v>
      </c>
      <c r="D221" s="120">
        <f>E221-0</f>
        <v>0</v>
      </c>
      <c r="E221" s="120">
        <v>0</v>
      </c>
      <c r="F221" s="120">
        <f t="shared" si="23"/>
        <v>0</v>
      </c>
      <c r="G221" s="120">
        <f>H221-0</f>
        <v>0</v>
      </c>
      <c r="H221" s="198">
        <v>0</v>
      </c>
      <c r="I221" s="199"/>
      <c r="J221" s="119">
        <f>C221-H221</f>
        <v>0</v>
      </c>
      <c r="K221" s="198">
        <v>0</v>
      </c>
      <c r="L221" s="200"/>
    </row>
    <row r="222" spans="1:12" s="3" customFormat="1" ht="15.75">
      <c r="A222" s="93" t="s">
        <v>126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8" t="s">
        <v>91</v>
      </c>
    </row>
    <row r="223" spans="1:12" s="3" customFormat="1" ht="18">
      <c r="A223" s="93" t="s">
        <v>141</v>
      </c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8"/>
    </row>
    <row r="224" spans="1:12" s="3" customFormat="1" ht="18">
      <c r="A224" s="93" t="s">
        <v>142</v>
      </c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8"/>
    </row>
    <row r="225" spans="1:12" s="3" customFormat="1" ht="15.75" customHeight="1">
      <c r="A225" s="74" t="s">
        <v>130</v>
      </c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97"/>
    </row>
    <row r="226" spans="1:12" s="3" customFormat="1" ht="15.75" customHeight="1">
      <c r="A226" s="74" t="s">
        <v>146</v>
      </c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76"/>
    </row>
    <row r="227" spans="1:12" s="3" customFormat="1" ht="15.75">
      <c r="A227" s="315" t="s">
        <v>147</v>
      </c>
      <c r="B227" s="315"/>
      <c r="C227" s="315"/>
      <c r="D227" s="315"/>
      <c r="E227" s="315"/>
      <c r="F227" s="315"/>
      <c r="G227" s="315"/>
      <c r="H227" s="315"/>
      <c r="I227" s="315"/>
      <c r="J227" s="315"/>
      <c r="K227" s="315"/>
      <c r="L227" s="315"/>
    </row>
    <row r="228" spans="1:12" s="3" customFormat="1" ht="15.75" customHeight="1">
      <c r="A228" s="74"/>
      <c r="B228" s="74"/>
      <c r="C228" s="94"/>
      <c r="D228" s="74"/>
      <c r="E228" s="95"/>
      <c r="F228" s="74"/>
      <c r="G228" s="95"/>
      <c r="H228" s="74"/>
      <c r="I228" s="74"/>
      <c r="J228" s="74"/>
      <c r="K228" s="74"/>
      <c r="L228" s="74"/>
    </row>
    <row r="229" spans="1:12" s="3" customFormat="1" ht="15.75" customHeight="1">
      <c r="A229" s="69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</row>
    <row r="230" spans="1:13" s="3" customFormat="1" ht="15.75" customHeight="1">
      <c r="A230" s="71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2"/>
    </row>
    <row r="231" spans="1:13" s="3" customFormat="1" ht="15.75" customHeight="1">
      <c r="A231" s="73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</row>
    <row r="232" spans="1:12" s="3" customFormat="1" ht="15.75" customHeight="1">
      <c r="A232" s="73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</row>
    <row r="233" spans="1:12" s="3" customFormat="1" ht="15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</row>
    <row r="234" spans="1:12" s="3" customFormat="1" ht="15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</row>
    <row r="235" spans="1:12" s="3" customFormat="1" ht="15.75" customHeight="1">
      <c r="A235" s="314" t="s">
        <v>92</v>
      </c>
      <c r="B235" s="314"/>
      <c r="C235" s="314" t="s">
        <v>86</v>
      </c>
      <c r="D235" s="314"/>
      <c r="E235" s="314"/>
      <c r="F235" s="314"/>
      <c r="G235" s="309" t="s">
        <v>143</v>
      </c>
      <c r="H235" s="309"/>
      <c r="I235" s="309"/>
      <c r="J235" s="309"/>
      <c r="K235" s="309"/>
      <c r="L235" s="309"/>
    </row>
    <row r="236" spans="1:12" s="3" customFormat="1" ht="15.75" customHeight="1">
      <c r="A236" s="314" t="s">
        <v>85</v>
      </c>
      <c r="B236" s="314"/>
      <c r="C236" s="314" t="s">
        <v>87</v>
      </c>
      <c r="D236" s="314"/>
      <c r="E236" s="314"/>
      <c r="F236" s="314"/>
      <c r="G236" s="309" t="s">
        <v>144</v>
      </c>
      <c r="H236" s="309"/>
      <c r="I236" s="309"/>
      <c r="J236" s="309"/>
      <c r="K236" s="309"/>
      <c r="L236" s="309"/>
    </row>
    <row r="237" spans="1:12" s="3" customFormat="1" ht="15.75" customHeight="1">
      <c r="A237" s="314" t="s">
        <v>84</v>
      </c>
      <c r="B237" s="314"/>
      <c r="C237" s="314" t="s">
        <v>88</v>
      </c>
      <c r="D237" s="314"/>
      <c r="E237" s="314"/>
      <c r="F237" s="314"/>
      <c r="G237" s="309" t="s">
        <v>145</v>
      </c>
      <c r="H237" s="309"/>
      <c r="I237" s="309"/>
      <c r="J237" s="309"/>
      <c r="K237" s="309"/>
      <c r="L237" s="309"/>
    </row>
    <row r="238" spans="1:12" ht="15.75" customHeight="1">
      <c r="A238" s="74"/>
      <c r="B238" s="74"/>
      <c r="C238" s="74"/>
      <c r="D238" s="74"/>
      <c r="E238" s="74"/>
      <c r="F238" s="74"/>
      <c r="G238" s="75"/>
      <c r="H238" s="75"/>
      <c r="I238" s="75"/>
      <c r="J238" s="75"/>
      <c r="K238" s="75"/>
      <c r="L238" s="74"/>
    </row>
    <row r="239" spans="1:12" ht="11.25" customHeight="1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</row>
    <row r="240" spans="1:12" ht="11.25" customHeight="1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</row>
    <row r="241" spans="1:12" ht="11.25" customHeight="1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</row>
    <row r="242" spans="1:12" ht="11.25" customHeight="1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</row>
    <row r="243" spans="1:12" ht="11.25" customHeight="1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</row>
    <row r="244" spans="1:12" ht="11.25" customHeight="1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</row>
    <row r="245" spans="1:12" ht="11.25" customHeight="1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</row>
    <row r="246" spans="1:12" ht="11.25" customHeight="1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</row>
    <row r="247" spans="1:12" ht="11.25" customHeight="1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</row>
    <row r="248" spans="1:12" ht="11.25" customHeight="1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</row>
    <row r="249" spans="1:12" ht="11.25" customHeight="1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</row>
  </sheetData>
  <sheetProtection/>
  <mergeCells count="564">
    <mergeCell ref="M58:N58"/>
    <mergeCell ref="O57:P57"/>
    <mergeCell ref="O58:P58"/>
    <mergeCell ref="Q57:T57"/>
    <mergeCell ref="N81:Q83"/>
    <mergeCell ref="M177:N177"/>
    <mergeCell ref="M182:N182"/>
    <mergeCell ref="G236:L236"/>
    <mergeCell ref="G235:L235"/>
    <mergeCell ref="G80:H80"/>
    <mergeCell ref="G65:H65"/>
    <mergeCell ref="G68:H68"/>
    <mergeCell ref="G66:H66"/>
    <mergeCell ref="A235:B235"/>
    <mergeCell ref="A236:B236"/>
    <mergeCell ref="A78:B78"/>
    <mergeCell ref="J78:L78"/>
    <mergeCell ref="G78:H78"/>
    <mergeCell ref="J83:L83"/>
    <mergeCell ref="A83:B83"/>
    <mergeCell ref="G79:H79"/>
    <mergeCell ref="G83:H83"/>
    <mergeCell ref="A86:B86"/>
    <mergeCell ref="N93:Q97"/>
    <mergeCell ref="J73:L73"/>
    <mergeCell ref="G70:H70"/>
    <mergeCell ref="A66:B66"/>
    <mergeCell ref="J66:L66"/>
    <mergeCell ref="G67:H67"/>
    <mergeCell ref="J70:L70"/>
    <mergeCell ref="G69:H69"/>
    <mergeCell ref="J71:L71"/>
    <mergeCell ref="A77:B77"/>
    <mergeCell ref="A237:B237"/>
    <mergeCell ref="H215:I215"/>
    <mergeCell ref="K215:L215"/>
    <mergeCell ref="C235:F235"/>
    <mergeCell ref="C236:F236"/>
    <mergeCell ref="C237:F237"/>
    <mergeCell ref="A227:L227"/>
    <mergeCell ref="H218:I218"/>
    <mergeCell ref="K218:L218"/>
    <mergeCell ref="H219:I219"/>
    <mergeCell ref="G237:L237"/>
    <mergeCell ref="A6:L6"/>
    <mergeCell ref="A7:L7"/>
    <mergeCell ref="A8:L8"/>
    <mergeCell ref="A9:L9"/>
    <mergeCell ref="A10:L10"/>
    <mergeCell ref="C14:C16"/>
    <mergeCell ref="E14:I14"/>
    <mergeCell ref="J15:L15"/>
    <mergeCell ref="G16:H16"/>
    <mergeCell ref="J16:L16"/>
    <mergeCell ref="J25:L25"/>
    <mergeCell ref="A24:B24"/>
    <mergeCell ref="G24:H24"/>
    <mergeCell ref="A14:B16"/>
    <mergeCell ref="A18:B18"/>
    <mergeCell ref="G18:H18"/>
    <mergeCell ref="J14:L14"/>
    <mergeCell ref="G15:H15"/>
    <mergeCell ref="A19:B19"/>
    <mergeCell ref="G19:H19"/>
    <mergeCell ref="J19:L19"/>
    <mergeCell ref="A17:B17"/>
    <mergeCell ref="G17:H17"/>
    <mergeCell ref="A20:B20"/>
    <mergeCell ref="G20:H20"/>
    <mergeCell ref="J20:L20"/>
    <mergeCell ref="J17:L17"/>
    <mergeCell ref="J18:L18"/>
    <mergeCell ref="J22:L22"/>
    <mergeCell ref="J30:L30"/>
    <mergeCell ref="A21:B21"/>
    <mergeCell ref="G21:H21"/>
    <mergeCell ref="J21:L21"/>
    <mergeCell ref="A23:B23"/>
    <mergeCell ref="A28:B28"/>
    <mergeCell ref="G23:H23"/>
    <mergeCell ref="J23:L23"/>
    <mergeCell ref="A22:B22"/>
    <mergeCell ref="A26:B26"/>
    <mergeCell ref="A30:B30"/>
    <mergeCell ref="A31:B31"/>
    <mergeCell ref="A29:B29"/>
    <mergeCell ref="J29:L29"/>
    <mergeCell ref="J26:L26"/>
    <mergeCell ref="J27:L27"/>
    <mergeCell ref="G28:H28"/>
    <mergeCell ref="J28:L28"/>
    <mergeCell ref="G29:H29"/>
    <mergeCell ref="G22:H22"/>
    <mergeCell ref="A25:B25"/>
    <mergeCell ref="G25:H25"/>
    <mergeCell ref="J24:L24"/>
    <mergeCell ref="G26:H26"/>
    <mergeCell ref="A33:B33"/>
    <mergeCell ref="J33:L33"/>
    <mergeCell ref="G32:H32"/>
    <mergeCell ref="G33:H33"/>
    <mergeCell ref="A27:B27"/>
    <mergeCell ref="G27:H27"/>
    <mergeCell ref="J31:L31"/>
    <mergeCell ref="G30:H30"/>
    <mergeCell ref="A34:B34"/>
    <mergeCell ref="J34:L34"/>
    <mergeCell ref="A32:B32"/>
    <mergeCell ref="J32:L32"/>
    <mergeCell ref="G34:H34"/>
    <mergeCell ref="G31:H31"/>
    <mergeCell ref="A37:B37"/>
    <mergeCell ref="G37:H37"/>
    <mergeCell ref="J37:L37"/>
    <mergeCell ref="A35:B35"/>
    <mergeCell ref="J35:L35"/>
    <mergeCell ref="G35:H35"/>
    <mergeCell ref="A36:B36"/>
    <mergeCell ref="G36:H36"/>
    <mergeCell ref="J36:L36"/>
    <mergeCell ref="J46:L4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A48:B48"/>
    <mergeCell ref="G47:H47"/>
    <mergeCell ref="G48:H48"/>
    <mergeCell ref="J48:L48"/>
    <mergeCell ref="A47:B47"/>
    <mergeCell ref="J47:L47"/>
    <mergeCell ref="G38:H38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J49:L49"/>
    <mergeCell ref="G49:H49"/>
    <mergeCell ref="G55:H55"/>
    <mergeCell ref="A52:B52"/>
    <mergeCell ref="J52:L52"/>
    <mergeCell ref="G50:H50"/>
    <mergeCell ref="G52:H52"/>
    <mergeCell ref="J55:L55"/>
    <mergeCell ref="J51:L51"/>
    <mergeCell ref="G51:H51"/>
    <mergeCell ref="G57:H57"/>
    <mergeCell ref="J54:L54"/>
    <mergeCell ref="G53:H53"/>
    <mergeCell ref="G54:H54"/>
    <mergeCell ref="A59:B59"/>
    <mergeCell ref="J59:L59"/>
    <mergeCell ref="J57:L57"/>
    <mergeCell ref="J53:L53"/>
    <mergeCell ref="A57:B57"/>
    <mergeCell ref="A53:B53"/>
    <mergeCell ref="A60:B60"/>
    <mergeCell ref="J58:L58"/>
    <mergeCell ref="G60:H60"/>
    <mergeCell ref="G58:H58"/>
    <mergeCell ref="G59:H59"/>
    <mergeCell ref="A58:B58"/>
    <mergeCell ref="J60:L60"/>
    <mergeCell ref="A61:B61"/>
    <mergeCell ref="J61:L61"/>
    <mergeCell ref="A62:B62"/>
    <mergeCell ref="J63:L63"/>
    <mergeCell ref="G61:H61"/>
    <mergeCell ref="G63:H63"/>
    <mergeCell ref="J62:L62"/>
    <mergeCell ref="G77:H77"/>
    <mergeCell ref="J75:L75"/>
    <mergeCell ref="A76:B76"/>
    <mergeCell ref="A64:B64"/>
    <mergeCell ref="G62:H62"/>
    <mergeCell ref="A67:B67"/>
    <mergeCell ref="G64:H64"/>
    <mergeCell ref="J64:L64"/>
    <mergeCell ref="A68:B68"/>
    <mergeCell ref="J72:L72"/>
    <mergeCell ref="J85:L85"/>
    <mergeCell ref="A80:B80"/>
    <mergeCell ref="J67:L67"/>
    <mergeCell ref="A69:B69"/>
    <mergeCell ref="J69:L69"/>
    <mergeCell ref="A70:B70"/>
    <mergeCell ref="J68:L68"/>
    <mergeCell ref="A85:B85"/>
    <mergeCell ref="J77:L77"/>
    <mergeCell ref="A73:B73"/>
    <mergeCell ref="G85:H85"/>
    <mergeCell ref="J81:L81"/>
    <mergeCell ref="A79:B79"/>
    <mergeCell ref="G86:H86"/>
    <mergeCell ref="J80:L80"/>
    <mergeCell ref="J86:L86"/>
    <mergeCell ref="A84:B84"/>
    <mergeCell ref="G84:H84"/>
    <mergeCell ref="J79:L79"/>
    <mergeCell ref="G81:H81"/>
    <mergeCell ref="A91:B91"/>
    <mergeCell ref="G91:H91"/>
    <mergeCell ref="J91:L91"/>
    <mergeCell ref="A88:B88"/>
    <mergeCell ref="G88:H88"/>
    <mergeCell ref="J88:L88"/>
    <mergeCell ref="A90:B90"/>
    <mergeCell ref="G90:H90"/>
    <mergeCell ref="J90:L90"/>
    <mergeCell ref="A89:B89"/>
    <mergeCell ref="G89:H89"/>
    <mergeCell ref="J89:L89"/>
    <mergeCell ref="A87:B87"/>
    <mergeCell ref="G87:H87"/>
    <mergeCell ref="J87:L87"/>
    <mergeCell ref="A81:B81"/>
    <mergeCell ref="J82:L82"/>
    <mergeCell ref="J84:L84"/>
    <mergeCell ref="A82:B82"/>
    <mergeCell ref="G82:H82"/>
    <mergeCell ref="A92:B92"/>
    <mergeCell ref="G92:H92"/>
    <mergeCell ref="J92:L92"/>
    <mergeCell ref="G94:H94"/>
    <mergeCell ref="J94:L94"/>
    <mergeCell ref="J93:L93"/>
    <mergeCell ref="A93:B93"/>
    <mergeCell ref="G93:H93"/>
    <mergeCell ref="K98:L100"/>
    <mergeCell ref="H99:I99"/>
    <mergeCell ref="H100:I100"/>
    <mergeCell ref="J95:L95"/>
    <mergeCell ref="G95:H95"/>
    <mergeCell ref="J96:L96"/>
    <mergeCell ref="A98:A101"/>
    <mergeCell ref="H104:I104"/>
    <mergeCell ref="G96:H96"/>
    <mergeCell ref="D98:E98"/>
    <mergeCell ref="G98:I98"/>
    <mergeCell ref="A94:B94"/>
    <mergeCell ref="A96:B96"/>
    <mergeCell ref="A95:B95"/>
    <mergeCell ref="K101:L101"/>
    <mergeCell ref="H102:I102"/>
    <mergeCell ref="K102:L102"/>
    <mergeCell ref="H103:I103"/>
    <mergeCell ref="K103:L103"/>
    <mergeCell ref="K104:L104"/>
    <mergeCell ref="H101:I101"/>
    <mergeCell ref="K111:L111"/>
    <mergeCell ref="K112:L112"/>
    <mergeCell ref="K105:L105"/>
    <mergeCell ref="H107:I107"/>
    <mergeCell ref="K107:L107"/>
    <mergeCell ref="K106:L106"/>
    <mergeCell ref="H108:I108"/>
    <mergeCell ref="K108:L108"/>
    <mergeCell ref="H105:I105"/>
    <mergeCell ref="H106:I106"/>
    <mergeCell ref="H115:I115"/>
    <mergeCell ref="K115:L115"/>
    <mergeCell ref="H109:I109"/>
    <mergeCell ref="K109:L109"/>
    <mergeCell ref="H113:I113"/>
    <mergeCell ref="K113:L113"/>
    <mergeCell ref="H110:I110"/>
    <mergeCell ref="H111:I111"/>
    <mergeCell ref="H112:I112"/>
    <mergeCell ref="K110:L110"/>
    <mergeCell ref="K124:L124"/>
    <mergeCell ref="H122:I122"/>
    <mergeCell ref="H124:I124"/>
    <mergeCell ref="H116:I116"/>
    <mergeCell ref="K116:L116"/>
    <mergeCell ref="H117:I117"/>
    <mergeCell ref="K117:L117"/>
    <mergeCell ref="K118:L118"/>
    <mergeCell ref="A135:L135"/>
    <mergeCell ref="K121:L121"/>
    <mergeCell ref="H119:I119"/>
    <mergeCell ref="J140:L140"/>
    <mergeCell ref="A136:L136"/>
    <mergeCell ref="K122:L122"/>
    <mergeCell ref="H123:I123"/>
    <mergeCell ref="K119:L119"/>
    <mergeCell ref="K123:L123"/>
    <mergeCell ref="H120:I120"/>
    <mergeCell ref="H114:I114"/>
    <mergeCell ref="K114:L114"/>
    <mergeCell ref="K126:L126"/>
    <mergeCell ref="H126:I126"/>
    <mergeCell ref="H118:I118"/>
    <mergeCell ref="A134:L134"/>
    <mergeCell ref="K120:L120"/>
    <mergeCell ref="H121:I121"/>
    <mergeCell ref="H125:I125"/>
    <mergeCell ref="K125:L125"/>
    <mergeCell ref="G142:H142"/>
    <mergeCell ref="J142:L142"/>
    <mergeCell ref="A143:B143"/>
    <mergeCell ref="G143:H143"/>
    <mergeCell ref="J143:L143"/>
    <mergeCell ref="C140:C142"/>
    <mergeCell ref="E140:I140"/>
    <mergeCell ref="G141:H141"/>
    <mergeCell ref="J141:L141"/>
    <mergeCell ref="A140:B142"/>
    <mergeCell ref="A144:B144"/>
    <mergeCell ref="G144:H144"/>
    <mergeCell ref="J144:L144"/>
    <mergeCell ref="A145:B145"/>
    <mergeCell ref="G145:H145"/>
    <mergeCell ref="J145:L145"/>
    <mergeCell ref="A146:B146"/>
    <mergeCell ref="G146:H146"/>
    <mergeCell ref="J146:L146"/>
    <mergeCell ref="A147:B147"/>
    <mergeCell ref="G147:H147"/>
    <mergeCell ref="J147:L147"/>
    <mergeCell ref="A149:B149"/>
    <mergeCell ref="G149:H149"/>
    <mergeCell ref="J149:L149"/>
    <mergeCell ref="A150:B150"/>
    <mergeCell ref="G150:H150"/>
    <mergeCell ref="J150:L150"/>
    <mergeCell ref="A151:B151"/>
    <mergeCell ref="G151:H151"/>
    <mergeCell ref="J151:L151"/>
    <mergeCell ref="A154:B154"/>
    <mergeCell ref="G154:H154"/>
    <mergeCell ref="J154:L154"/>
    <mergeCell ref="J152:L152"/>
    <mergeCell ref="G153:H153"/>
    <mergeCell ref="J153:L153"/>
    <mergeCell ref="A152:B152"/>
    <mergeCell ref="A158:B158"/>
    <mergeCell ref="G158:H158"/>
    <mergeCell ref="J158:L158"/>
    <mergeCell ref="A155:B155"/>
    <mergeCell ref="G155:H155"/>
    <mergeCell ref="J155:L155"/>
    <mergeCell ref="A156:B156"/>
    <mergeCell ref="G156:H156"/>
    <mergeCell ref="J156:L156"/>
    <mergeCell ref="A157:B157"/>
    <mergeCell ref="G162:H162"/>
    <mergeCell ref="J163:L163"/>
    <mergeCell ref="G160:H160"/>
    <mergeCell ref="J160:L160"/>
    <mergeCell ref="G157:H157"/>
    <mergeCell ref="J157:L157"/>
    <mergeCell ref="J42:L42"/>
    <mergeCell ref="A153:B153"/>
    <mergeCell ref="G40:H40"/>
    <mergeCell ref="A164:B164"/>
    <mergeCell ref="G164:H164"/>
    <mergeCell ref="J164:L164"/>
    <mergeCell ref="J40:L40"/>
    <mergeCell ref="G163:H163"/>
    <mergeCell ref="A163:B163"/>
    <mergeCell ref="J162:L162"/>
    <mergeCell ref="A40:B40"/>
    <mergeCell ref="J65:L65"/>
    <mergeCell ref="J50:L50"/>
    <mergeCell ref="J173:L173"/>
    <mergeCell ref="A170:B170"/>
    <mergeCell ref="G170:H170"/>
    <mergeCell ref="J170:L170"/>
    <mergeCell ref="G171:H171"/>
    <mergeCell ref="J171:L171"/>
    <mergeCell ref="A173:B173"/>
    <mergeCell ref="G72:H72"/>
    <mergeCell ref="G75:H75"/>
    <mergeCell ref="G74:H74"/>
    <mergeCell ref="G73:H73"/>
    <mergeCell ref="A63:B63"/>
    <mergeCell ref="G71:H71"/>
    <mergeCell ref="A74:B74"/>
    <mergeCell ref="A75:B75"/>
    <mergeCell ref="A168:B168"/>
    <mergeCell ref="J165:L165"/>
    <mergeCell ref="J148:L148"/>
    <mergeCell ref="J161:L161"/>
    <mergeCell ref="A162:B162"/>
    <mergeCell ref="A165:B165"/>
    <mergeCell ref="G165:H165"/>
    <mergeCell ref="A148:B148"/>
    <mergeCell ref="G148:H148"/>
    <mergeCell ref="A160:B160"/>
    <mergeCell ref="A178:B178"/>
    <mergeCell ref="G178:H178"/>
    <mergeCell ref="A159:B159"/>
    <mergeCell ref="A171:B171"/>
    <mergeCell ref="G175:H175"/>
    <mergeCell ref="J175:L175"/>
    <mergeCell ref="J172:L172"/>
    <mergeCell ref="G173:H173"/>
    <mergeCell ref="G172:H172"/>
    <mergeCell ref="G159:H159"/>
    <mergeCell ref="J177:L177"/>
    <mergeCell ref="A54:B54"/>
    <mergeCell ref="A55:B55"/>
    <mergeCell ref="A65:B65"/>
    <mergeCell ref="A71:B71"/>
    <mergeCell ref="A72:B72"/>
    <mergeCell ref="G174:H174"/>
    <mergeCell ref="J159:L159"/>
    <mergeCell ref="G167:H167"/>
    <mergeCell ref="J74:L74"/>
    <mergeCell ref="G176:H176"/>
    <mergeCell ref="A176:B176"/>
    <mergeCell ref="A177:B177"/>
    <mergeCell ref="G177:H177"/>
    <mergeCell ref="G183:H183"/>
    <mergeCell ref="J183:L183"/>
    <mergeCell ref="J176:L176"/>
    <mergeCell ref="J180:L180"/>
    <mergeCell ref="J181:L181"/>
    <mergeCell ref="J179:L179"/>
    <mergeCell ref="J187:L187"/>
    <mergeCell ref="J185:L185"/>
    <mergeCell ref="J184:L184"/>
    <mergeCell ref="A41:B41"/>
    <mergeCell ref="A42:B42"/>
    <mergeCell ref="A43:B43"/>
    <mergeCell ref="A49:B49"/>
    <mergeCell ref="A50:B50"/>
    <mergeCell ref="A51:B51"/>
    <mergeCell ref="J178:L178"/>
    <mergeCell ref="J195:L195"/>
    <mergeCell ref="A195:B195"/>
    <mergeCell ref="G196:H196"/>
    <mergeCell ref="J196:L196"/>
    <mergeCell ref="J190:L190"/>
    <mergeCell ref="A174:B174"/>
    <mergeCell ref="A175:B175"/>
    <mergeCell ref="J189:L189"/>
    <mergeCell ref="G186:H186"/>
    <mergeCell ref="J186:L186"/>
    <mergeCell ref="H212:I212"/>
    <mergeCell ref="K212:L212"/>
    <mergeCell ref="H213:I213"/>
    <mergeCell ref="K213:L213"/>
    <mergeCell ref="H211:I211"/>
    <mergeCell ref="K211:L211"/>
    <mergeCell ref="H214:I214"/>
    <mergeCell ref="K214:L214"/>
    <mergeCell ref="H216:I216"/>
    <mergeCell ref="K216:L216"/>
    <mergeCell ref="H217:I217"/>
    <mergeCell ref="K217:L217"/>
    <mergeCell ref="K219:L219"/>
    <mergeCell ref="H221:I221"/>
    <mergeCell ref="K221:L221"/>
    <mergeCell ref="A132:L132"/>
    <mergeCell ref="A133:L133"/>
    <mergeCell ref="A167:B167"/>
    <mergeCell ref="G152:H152"/>
    <mergeCell ref="A166:B166"/>
    <mergeCell ref="A172:B172"/>
    <mergeCell ref="G166:H166"/>
    <mergeCell ref="D208:E208"/>
    <mergeCell ref="G208:I208"/>
    <mergeCell ref="A201:B201"/>
    <mergeCell ref="G205:H205"/>
    <mergeCell ref="G199:H199"/>
    <mergeCell ref="A202:B202"/>
    <mergeCell ref="G206:H206"/>
    <mergeCell ref="A205:B205"/>
    <mergeCell ref="G200:H200"/>
    <mergeCell ref="A200:B200"/>
    <mergeCell ref="A204:B204"/>
    <mergeCell ref="A184:B184"/>
    <mergeCell ref="J166:L166"/>
    <mergeCell ref="A161:B161"/>
    <mergeCell ref="G161:H161"/>
    <mergeCell ref="J199:L199"/>
    <mergeCell ref="J200:L200"/>
    <mergeCell ref="J202:L202"/>
    <mergeCell ref="J201:L201"/>
    <mergeCell ref="J197:L197"/>
    <mergeCell ref="A194:B194"/>
    <mergeCell ref="G198:H198"/>
    <mergeCell ref="G188:H188"/>
    <mergeCell ref="G189:H189"/>
    <mergeCell ref="G191:H191"/>
    <mergeCell ref="G190:H190"/>
    <mergeCell ref="G195:H195"/>
    <mergeCell ref="A169:B169"/>
    <mergeCell ref="G192:H192"/>
    <mergeCell ref="A208:A211"/>
    <mergeCell ref="A193:B193"/>
    <mergeCell ref="A179:B179"/>
    <mergeCell ref="A180:B180"/>
    <mergeCell ref="A181:B181"/>
    <mergeCell ref="A203:B203"/>
    <mergeCell ref="A196:B196"/>
    <mergeCell ref="A186:B186"/>
    <mergeCell ref="A190:B190"/>
    <mergeCell ref="G179:H179"/>
    <mergeCell ref="G193:H193"/>
    <mergeCell ref="A189:B189"/>
    <mergeCell ref="A192:B192"/>
    <mergeCell ref="G184:H184"/>
    <mergeCell ref="G181:H181"/>
    <mergeCell ref="A187:B187"/>
    <mergeCell ref="A188:B188"/>
    <mergeCell ref="G187:H187"/>
    <mergeCell ref="A199:B199"/>
    <mergeCell ref="A185:B185"/>
    <mergeCell ref="G185:H185"/>
    <mergeCell ref="J167:L167"/>
    <mergeCell ref="J168:L168"/>
    <mergeCell ref="J169:L169"/>
    <mergeCell ref="G169:H169"/>
    <mergeCell ref="G180:H180"/>
    <mergeCell ref="G168:H168"/>
    <mergeCell ref="J174:L174"/>
    <mergeCell ref="J203:L203"/>
    <mergeCell ref="J193:L193"/>
    <mergeCell ref="G194:H194"/>
    <mergeCell ref="J194:L194"/>
    <mergeCell ref="J192:L192"/>
    <mergeCell ref="J188:L188"/>
    <mergeCell ref="G202:H202"/>
    <mergeCell ref="G203:H203"/>
    <mergeCell ref="G201:H201"/>
    <mergeCell ref="J198:L198"/>
    <mergeCell ref="G204:H204"/>
    <mergeCell ref="J204:L204"/>
    <mergeCell ref="J205:L205"/>
    <mergeCell ref="A206:B206"/>
    <mergeCell ref="A183:B183"/>
    <mergeCell ref="J191:L191"/>
    <mergeCell ref="A197:B197"/>
    <mergeCell ref="A198:B198"/>
    <mergeCell ref="A191:B191"/>
    <mergeCell ref="G197:H197"/>
    <mergeCell ref="H207:I207"/>
    <mergeCell ref="K207:L207"/>
    <mergeCell ref="K208:L210"/>
    <mergeCell ref="H209:I209"/>
    <mergeCell ref="H210:I210"/>
    <mergeCell ref="J206:L206"/>
    <mergeCell ref="G76:H76"/>
    <mergeCell ref="J76:L76"/>
    <mergeCell ref="K220:L220"/>
    <mergeCell ref="H220:I220"/>
    <mergeCell ref="A56:B56"/>
    <mergeCell ref="J56:L56"/>
    <mergeCell ref="G56:H56"/>
    <mergeCell ref="A182:B182"/>
    <mergeCell ref="G182:H182"/>
    <mergeCell ref="J182:L182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2" r:id="rId2"/>
  <rowBreaks count="1" manualBreakCount="1">
    <brk id="127" max="11" man="1"/>
  </rowBreaks>
  <ignoredErrors>
    <ignoredError sqref="F114:F117 J115:J117 J102 F120:G120 J120 F102:F104 F216:F217 F212:F214 E28 E23 E193 E188 E178 E154 E149 E38 D120 E44 E58 H91 H93 G92:H92 E62 D106:D107 G106 E202 G215 D215 E52 E170 E171:E172 E74 F93 E161 E168 E166 E164 E158:E160 E165 E167 E169 E162:E163" formula="1"/>
    <ignoredError sqref="B103:C103 K103:L103 B109:C109 K109 L115 H103 K123:L123 I123 L116 B121:C121 B122:C122 L117 L120 D103:E103 C77:D77 C154:D154 C28:D28 C202:D202 E109" formulaRange="1"/>
    <ignoredError sqref="F109:G109 G103 F105:F108 F110:F111 J103 I115 J109:J111 F113 J113 E77 D109 F143:F144 F17:F21 F82:F83 F74 F68 F61:F62 F91 F58:F59 F64 E83 F44:F45" formula="1" formulaRange="1"/>
    <ignoredError sqref="F66 F149:F150 F164:F165 I143:I144 I91 F154:F155 F169:F170 F172 F183 F180 F178 I183 I178 I172 I169:I170 I154:I155 I149:I150 I164:I165 I180 F23:F24 I17:I21 F28:F32 F57 I23:I24 I28:I32 I57:I59 I66 I74 I82:I83 I64 E84:E91 F35:F43 G38:H38 F46:F50 G44:H44 F71 I35:I50 I52:I55 F52:F55 F51 I51 H56 H71:I71 I68 I61:I62" evalError="1"/>
    <ignoredError sqref="F143:F144 F17:F21 F82:F83 F74 F68 F61:F62 F91 F58:F59 F64 E83 F44:F45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2022-09-19T20:47:45Z</cp:lastPrinted>
  <dcterms:created xsi:type="dcterms:W3CDTF">2005-03-07T15:54:32Z</dcterms:created>
  <dcterms:modified xsi:type="dcterms:W3CDTF">2022-09-27T19:07:08Z</dcterms:modified>
  <cp:category/>
  <cp:version/>
  <cp:contentType/>
  <cp:contentStatus/>
</cp:coreProperties>
</file>